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8_Le Mans\Plantation 2024 dossier 2023\Bourgouet (35)\"/>
    </mc:Choice>
  </mc:AlternateContent>
  <xr:revisionPtr revIDLastSave="0" documentId="13_ncr:1_{3E9D4781-241E-4979-962E-22420E5DD72F}" xr6:coauthVersionLast="47" xr6:coauthVersionMax="47" xr10:uidLastSave="{00000000-0000-0000-0000-000000000000}"/>
  <bookViews>
    <workbookView xWindow="-135" yWindow="-135" windowWidth="29070" windowHeight="1587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0" i="6" l="1"/>
  <c r="E79" i="6"/>
  <c r="E48" i="6"/>
  <c r="E17" i="6"/>
  <c r="I20" i="6"/>
  <c r="I23" i="6" l="1"/>
  <c r="I22" i="6"/>
  <c r="I21" i="6"/>
  <c r="B94" i="1" l="1"/>
  <c r="D94" i="1" s="1"/>
  <c r="D93" i="1"/>
  <c r="D92" i="1"/>
  <c r="D91" i="1"/>
  <c r="D90" i="1"/>
  <c r="D89" i="1"/>
  <c r="D120" i="1"/>
  <c r="D6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82" i="2" a="1"/>
  <c r="BC82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14" i="2" l="1" a="1"/>
  <c r="BC114" i="2" s="1"/>
  <c r="BC126" i="2" a="1"/>
  <c r="BC126" i="2" s="1"/>
  <c r="BC47" i="2" a="1"/>
  <c r="BC47" i="2" s="1"/>
  <c r="BC58" i="2" a="1"/>
  <c r="BC58" i="2" s="1"/>
  <c r="BC34" i="2" a="1"/>
  <c r="BC34" i="2" s="1"/>
  <c r="BC65" i="2" a="1"/>
  <c r="BC65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<sst xmlns="http://schemas.openxmlformats.org/spreadsheetml/2006/main" count="1173" uniqueCount="324">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</sst>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51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64.583001936057926</c:v>
                </c:pt>
                <c:pt idx="14">
                  <c:v>79.492623892016056</c:v>
                </c:pt>
                <c:pt idx="15">
                  <c:v>94.331112571633255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135.26977619819337</c:v>
                </c:pt>
                <c:pt idx="22">
                  <c:v>152.20565029747607</c:v>
                </c:pt>
                <c:pt idx="23">
                  <c:v>169.09664015835338</c:v>
                </c:pt>
                <c:pt idx="24">
                  <c:v>185.9478634358592</c:v>
                </c:pt>
                <c:pt idx="25">
                  <c:v>202.76343275622813</c:v>
                </c:pt>
                <c:pt idx="26">
                  <c:v>219.54672196983498</c:v>
                </c:pt>
                <c:pt idx="27">
                  <c:v>236.30054645178791</c:v>
                </c:pt>
                <c:pt idx="28">
                  <c:v>253.02728945651543</c:v>
                </c:pt>
                <c:pt idx="29">
                  <c:v>269.72899324208106</c:v>
                </c:pt>
                <c:pt idx="30">
                  <c:v>286.40742640610694</c:v>
                </c:pt>
                <c:pt idx="31">
                  <c:v>213.99871582167268</c:v>
                </c:pt>
                <c:pt idx="32">
                  <c:v>231.66383182460808</c:v>
                </c:pt>
                <c:pt idx="33">
                  <c:v>249.29817636143676</c:v>
                </c:pt>
                <c:pt idx="34">
                  <c:v>266.90423231001677</c:v>
                </c:pt>
                <c:pt idx="35">
                  <c:v>284.48412810707845</c:v>
                </c:pt>
                <c:pt idx="36">
                  <c:v>302.03970758948918</c:v>
                </c:pt>
                <c:pt idx="37">
                  <c:v>319.57258272913612</c:v>
                </c:pt>
                <c:pt idx="38">
                  <c:v>337.08417417914399</c:v>
                </c:pt>
                <c:pt idx="39">
                  <c:v>354.57574294829556</c:v>
                </c:pt>
                <c:pt idx="40">
                  <c:v>372.04841549557983</c:v>
                </c:pt>
                <c:pt idx="41">
                  <c:v>298.96596087242057</c:v>
                </c:pt>
                <c:pt idx="42">
                  <c:v>315.35133220295853</c:v>
                </c:pt>
                <c:pt idx="43">
                  <c:v>331.71784088337864</c:v>
                </c:pt>
                <c:pt idx="44">
                  <c:v>348.06654843397018</c:v>
                </c:pt>
                <c:pt idx="45">
                  <c:v>364.39840852244924</c:v>
                </c:pt>
                <c:pt idx="46">
                  <c:v>380.71428236559865</c:v>
                </c:pt>
                <c:pt idx="47">
                  <c:v>397.01495135221603</c:v>
                </c:pt>
                <c:pt idx="48">
                  <c:v>413.30112748447704</c:v>
                </c:pt>
                <c:pt idx="49">
                  <c:v>429.57346208757502</c:v>
                </c:pt>
                <c:pt idx="50">
                  <c:v>445.83255313087483</c:v>
                </c:pt>
                <c:pt idx="51">
                  <c:v>371.2835704357048</c:v>
                </c:pt>
                <c:pt idx="52">
                  <c:v>385.80984000660828</c:v>
                </c:pt>
                <c:pt idx="53">
                  <c:v>400.32423184951267</c:v>
                </c:pt>
                <c:pt idx="54">
                  <c:v>414.82723721388476</c:v>
                </c:pt>
                <c:pt idx="55">
                  <c:v>429.31931020102019</c:v>
                </c:pt>
                <c:pt idx="56">
                  <c:v>443.80087175854425</c:v>
                </c:pt>
                <c:pt idx="57">
                  <c:v>458.27231312639037</c:v>
                </c:pt>
                <c:pt idx="58">
                  <c:v>472.73399882486751</c:v>
                </c:pt>
                <c:pt idx="59">
                  <c:v>487.1862692580944</c:v>
                </c:pt>
                <c:pt idx="60">
                  <c:v>501.62944299248062</c:v>
                </c:pt>
                <c:pt idx="61">
                  <c:v>441.00698422491922</c:v>
                </c:pt>
                <c:pt idx="62">
                  <c:v>452.68801995257218</c:v>
                </c:pt>
                <c:pt idx="63">
                  <c:v>464.36261282739719</c:v>
                </c:pt>
                <c:pt idx="64">
                  <c:v>476.03094766353843</c:v>
                </c:pt>
                <c:pt idx="65">
                  <c:v>487.69319947584319</c:v>
                </c:pt>
                <c:pt idx="66">
                  <c:v>499.34953422631708</c:v>
                </c:pt>
                <c:pt idx="67">
                  <c:v>511.0001094972597</c:v>
                </c:pt>
                <c:pt idx="68">
                  <c:v>522.64507509982207</c:v>
                </c:pt>
                <c:pt idx="69">
                  <c:v>534.28457362551364</c:v>
                </c:pt>
                <c:pt idx="70">
                  <c:v>545.9187409471557</c:v>
                </c:pt>
                <c:pt idx="71">
                  <c:v>499.34953422631702</c:v>
                </c:pt>
                <c:pt idx="72">
                  <c:v>508.46785799243179</c:v>
                </c:pt>
                <c:pt idx="73">
                  <c:v>517.58272655457984</c:v>
                </c:pt>
                <c:pt idx="74">
                  <c:v>526.69420935002211</c:v>
                </c:pt>
                <c:pt idx="75">
                  <c:v>535.80237321728055</c:v>
                </c:pt>
                <c:pt idx="76">
                  <c:v>544.90728253687291</c:v>
                </c:pt>
                <c:pt idx="77">
                  <c:v>554.00899936214978</c:v>
                </c:pt>
                <c:pt idx="78">
                  <c:v>563.107583541086</c:v>
                </c:pt>
                <c:pt idx="79">
                  <c:v>572.2030928297944</c:v>
                </c:pt>
                <c:pt idx="80">
                  <c:v>581.29558299844382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1.3261933593950832</c:v>
                </c:pt>
                <c:pt idx="2">
                  <c:v>1.6572419149732978</c:v>
                </c:pt>
                <c:pt idx="3">
                  <c:v>2.0712593542886806</c:v>
                </c:pt>
                <c:pt idx="4">
                  <c:v>2.5891184110630134</c:v>
                </c:pt>
                <c:pt idx="5">
                  <c:v>3.2369614437817043</c:v>
                </c:pt>
                <c:pt idx="6">
                  <c:v>4.0475352121879027</c:v>
                </c:pt>
                <c:pt idx="7">
                  <c:v>5.0618647765760167</c:v>
                </c:pt>
                <c:pt idx="8">
                  <c:v>6.3313529205338277</c:v>
                </c:pt>
                <c:pt idx="9">
                  <c:v>7.9204135668124849</c:v>
                </c:pt>
                <c:pt idx="10">
                  <c:v>9.9097753751108826</c:v>
                </c:pt>
                <c:pt idx="11">
                  <c:v>12.400626529298478</c:v>
                </c:pt>
                <c:pt idx="12">
                  <c:v>15.519815462112325</c:v>
                </c:pt>
                <c:pt idx="13">
                  <c:v>19.426377218316578</c:v>
                </c:pt>
                <c:pt idx="14">
                  <c:v>24.319724202564903</c:v>
                </c:pt>
                <c:pt idx="15">
                  <c:v>30.449926816602773</c:v>
                </c:pt>
                <c:pt idx="16">
                  <c:v>38.130618514776266</c:v>
                </c:pt>
                <c:pt idx="17">
                  <c:v>47.755196822046663</c:v>
                </c:pt>
                <c:pt idx="18">
                  <c:v>59.817164064249148</c:v>
                </c:pt>
                <c:pt idx="19">
                  <c:v>74.935668010312952</c:v>
                </c:pt>
                <c:pt idx="20">
                  <c:v>93.887574707952481</c:v>
                </c:pt>
                <c:pt idx="21">
                  <c:v>112.56258628869034</c:v>
                </c:pt>
                <c:pt idx="22">
                  <c:v>131.16146937116443</c:v>
                </c:pt>
                <c:pt idx="23">
                  <c:v>149.6965647265325</c:v>
                </c:pt>
                <c:pt idx="24">
                  <c:v>168.17689319332743</c:v>
                </c:pt>
                <c:pt idx="25">
                  <c:v>186.60932481908711</c:v>
                </c:pt>
                <c:pt idx="26">
                  <c:v>204.99925859660652</c:v>
                </c:pt>
                <c:pt idx="27">
                  <c:v>223.3510442294521</c:v>
                </c:pt>
                <c:pt idx="28">
                  <c:v>241.66825746558641</c:v>
                </c:pt>
                <c:pt idx="29">
                  <c:v>259.95388732867264</c:v>
                </c:pt>
                <c:pt idx="30">
                  <c:v>278.21046778592353</c:v>
                </c:pt>
                <c:pt idx="31">
                  <c:v>213.52734853485811</c:v>
                </c:pt>
                <c:pt idx="32">
                  <c:v>233.85925299408589</c:v>
                </c:pt>
                <c:pt idx="33">
                  <c:v>254.15081010237392</c:v>
                </c:pt>
                <c:pt idx="34">
                  <c:v>274.40569374429145</c:v>
                </c:pt>
                <c:pt idx="35">
                  <c:v>294.62699092336538</c:v>
                </c:pt>
                <c:pt idx="36">
                  <c:v>314.81733022074968</c:v>
                </c:pt>
                <c:pt idx="37">
                  <c:v>334.97897552794342</c:v>
                </c:pt>
                <c:pt idx="38">
                  <c:v>355.11389600890425</c:v>
                </c:pt>
                <c:pt idx="39">
                  <c:v>375.22381935311847</c:v>
                </c:pt>
                <c:pt idx="40">
                  <c:v>395.310273009897</c:v>
                </c:pt>
                <c:pt idx="41">
                  <c:v>317.66232888862629</c:v>
                </c:pt>
                <c:pt idx="42">
                  <c:v>336.35655260916974</c:v>
                </c:pt>
                <c:pt idx="43">
                  <c:v>355.02790367881056</c:v>
                </c:pt>
                <c:pt idx="44">
                  <c:v>373.67775378131756</c:v>
                </c:pt>
                <c:pt idx="45">
                  <c:v>392.30732654571506</c:v>
                </c:pt>
                <c:pt idx="46">
                  <c:v>410.91771994400136</c:v>
                </c:pt>
                <c:pt idx="47">
                  <c:v>429.50992441905277</c:v>
                </c:pt>
                <c:pt idx="48">
                  <c:v>448.08483770994781</c:v>
                </c:pt>
                <c:pt idx="49">
                  <c:v>466.64327709105652</c:v>
                </c:pt>
                <c:pt idx="50">
                  <c:v>485.18598956299707</c:v>
                </c:pt>
                <c:pt idx="51">
                  <c:v>405.60236216041085</c:v>
                </c:pt>
                <c:pt idx="52">
                  <c:v>421.88669091966818</c:v>
                </c:pt>
                <c:pt idx="53">
                  <c:v>438.15749063011668</c:v>
                </c:pt>
                <c:pt idx="54">
                  <c:v>454.41533425055553</c:v>
                </c:pt>
                <c:pt idx="55">
                  <c:v>470.66075041174707</c:v>
                </c:pt>
                <c:pt idx="56">
                  <c:v>486.89422828924461</c:v>
                </c:pt>
                <c:pt idx="57">
                  <c:v>503.11622179266823</c:v>
                </c:pt>
                <c:pt idx="58">
                  <c:v>519.32715318670137</c:v>
                </c:pt>
                <c:pt idx="59">
                  <c:v>535.52741623657971</c:v>
                </c:pt>
                <c:pt idx="60">
                  <c:v>551.71737895330068</c:v>
                </c:pt>
                <c:pt idx="61">
                  <c:v>475.27566964504581</c:v>
                </c:pt>
                <c:pt idx="62">
                  <c:v>489.28554888722715</c:v>
                </c:pt>
                <c:pt idx="63">
                  <c:v>503.28692006995567</c:v>
                </c:pt>
                <c:pt idx="64">
                  <c:v>517.28005316637382</c:v>
                </c:pt>
                <c:pt idx="65">
                  <c:v>531.26520235647195</c:v>
                </c:pt>
                <c:pt idx="66">
                  <c:v>545.24260735106543</c:v>
                </c:pt>
                <c:pt idx="67">
                  <c:v>559.21249457298939</c:v>
                </c:pt>
                <c:pt idx="68">
                  <c:v>573.1750782141628</c:v>
                </c:pt>
                <c:pt idx="69">
                  <c:v>587.13056118433519</c:v>
                </c:pt>
                <c:pt idx="70">
                  <c:v>601.07913596497372</c:v>
                </c:pt>
                <c:pt idx="71">
                  <c:v>540.72635200317484</c:v>
                </c:pt>
                <c:pt idx="72">
                  <c:v>552.73956517399245</c:v>
                </c:pt>
                <c:pt idx="73">
                  <c:v>564.74730757477948</c:v>
                </c:pt>
                <c:pt idx="74">
                  <c:v>576.74971189331632</c:v>
                </c:pt>
                <c:pt idx="75">
                  <c:v>588.7469048458189</c:v>
                </c:pt>
                <c:pt idx="76">
                  <c:v>600.73900756445778</c:v>
                </c:pt>
                <c:pt idx="77">
                  <c:v>612.72613595233463</c:v>
                </c:pt>
                <c:pt idx="78">
                  <c:v>624.70840100924568</c:v>
                </c:pt>
                <c:pt idx="79">
                  <c:v>636.68590913116225</c:v>
                </c:pt>
                <c:pt idx="80">
                  <c:v>648.65876238601402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135.26977619819337</c:v>
                </c:pt>
                <c:pt idx="22">
                  <c:v>152.20565029747607</c:v>
                </c:pt>
                <c:pt idx="23">
                  <c:v>169.09664015835338</c:v>
                </c:pt>
                <c:pt idx="24">
                  <c:v>185.9478634358592</c:v>
                </c:pt>
                <c:pt idx="25">
                  <c:v>202.76343275622813</c:v>
                </c:pt>
                <c:pt idx="26">
                  <c:v>219.54672196983498</c:v>
                </c:pt>
                <c:pt idx="27">
                  <c:v>236.30054645178791</c:v>
                </c:pt>
                <c:pt idx="28">
                  <c:v>253.02728945651543</c:v>
                </c:pt>
                <c:pt idx="29">
                  <c:v>269.72899324208106</c:v>
                </c:pt>
                <c:pt idx="30">
                  <c:v>286.40742640610694</c:v>
                </c:pt>
                <c:pt idx="31">
                  <c:v>213.99871582167268</c:v>
                </c:pt>
                <c:pt idx="32">
                  <c:v>231.66383182460808</c:v>
                </c:pt>
                <c:pt idx="33">
                  <c:v>249.29817636143676</c:v>
                </c:pt>
                <c:pt idx="34">
                  <c:v>266.90423231001677</c:v>
                </c:pt>
                <c:pt idx="35">
                  <c:v>284.48412810707845</c:v>
                </c:pt>
                <c:pt idx="36">
                  <c:v>302.03970758948918</c:v>
                </c:pt>
                <c:pt idx="37">
                  <c:v>319.57258272913612</c:v>
                </c:pt>
                <c:pt idx="38">
                  <c:v>337.08417417914399</c:v>
                </c:pt>
                <c:pt idx="39">
                  <c:v>354.57574294829556</c:v>
                </c:pt>
                <c:pt idx="40">
                  <c:v>372.04841549557983</c:v>
                </c:pt>
                <c:pt idx="41">
                  <c:v>298.96596087242057</c:v>
                </c:pt>
                <c:pt idx="42">
                  <c:v>315.35133220295853</c:v>
                </c:pt>
                <c:pt idx="43">
                  <c:v>331.71784088337864</c:v>
                </c:pt>
                <c:pt idx="44">
                  <c:v>348.06654843397018</c:v>
                </c:pt>
                <c:pt idx="45">
                  <c:v>364.39840852244924</c:v>
                </c:pt>
                <c:pt idx="46">
                  <c:v>380.71428236559865</c:v>
                </c:pt>
                <c:pt idx="47">
                  <c:v>397.01495135221603</c:v>
                </c:pt>
                <c:pt idx="48">
                  <c:v>413.30112748447704</c:v>
                </c:pt>
                <c:pt idx="49">
                  <c:v>429.57346208757502</c:v>
                </c:pt>
                <c:pt idx="50">
                  <c:v>445.83255313087483</c:v>
                </c:pt>
                <c:pt idx="51">
                  <c:v>371.2835704357048</c:v>
                </c:pt>
                <c:pt idx="52">
                  <c:v>385.80984000660828</c:v>
                </c:pt>
                <c:pt idx="53">
                  <c:v>400.32423184951267</c:v>
                </c:pt>
                <c:pt idx="54">
                  <c:v>414.82723721388476</c:v>
                </c:pt>
                <c:pt idx="55">
                  <c:v>429.31931020102019</c:v>
                </c:pt>
                <c:pt idx="56">
                  <c:v>443.80087175854425</c:v>
                </c:pt>
                <c:pt idx="57">
                  <c:v>458.27231312639037</c:v>
                </c:pt>
                <c:pt idx="58">
                  <c:v>472.73399882486751</c:v>
                </c:pt>
                <c:pt idx="59">
                  <c:v>487.1862692580944</c:v>
                </c:pt>
                <c:pt idx="60">
                  <c:v>501.62944299248062</c:v>
                </c:pt>
                <c:pt idx="61">
                  <c:v>441.00698422491922</c:v>
                </c:pt>
                <c:pt idx="62">
                  <c:v>452.68801995257218</c:v>
                </c:pt>
                <c:pt idx="63">
                  <c:v>464.36261282739719</c:v>
                </c:pt>
                <c:pt idx="64">
                  <c:v>476.03094766353843</c:v>
                </c:pt>
                <c:pt idx="65">
                  <c:v>487.69319947584319</c:v>
                </c:pt>
                <c:pt idx="66">
                  <c:v>499.34953422631708</c:v>
                </c:pt>
                <c:pt idx="67">
                  <c:v>511.0001094972597</c:v>
                </c:pt>
                <c:pt idx="68">
                  <c:v>522.64507509982207</c:v>
                </c:pt>
                <c:pt idx="69">
                  <c:v>534.28457362551364</c:v>
                </c:pt>
                <c:pt idx="70">
                  <c:v>545.9187409471557</c:v>
                </c:pt>
                <c:pt idx="71">
                  <c:v>499.34953422631702</c:v>
                </c:pt>
                <c:pt idx="72">
                  <c:v>508.46785799243179</c:v>
                </c:pt>
                <c:pt idx="73">
                  <c:v>517.58272655457984</c:v>
                </c:pt>
                <c:pt idx="74">
                  <c:v>526.69420935002211</c:v>
                </c:pt>
                <c:pt idx="75">
                  <c:v>535.80237321728055</c:v>
                </c:pt>
                <c:pt idx="76">
                  <c:v>544.90728253687291</c:v>
                </c:pt>
                <c:pt idx="77">
                  <c:v>554.00899936214978</c:v>
                </c:pt>
                <c:pt idx="78">
                  <c:v>563.107583541086</c:v>
                </c:pt>
                <c:pt idx="79">
                  <c:v>572.2030928297944</c:v>
                </c:pt>
                <c:pt idx="80">
                  <c:v>581.29558299844382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80" zoomScaleNormal="80" workbookViewId="0">
      <selection activeCell="E27" sqref="E2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10.37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0.7</v>
      </c>
      <c r="D9" s="33">
        <f t="shared" ref="D9:D18" si="0">C9*$C$5</f>
        <v>7.2589999999999986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138</v>
      </c>
      <c r="C10" s="32">
        <v>0.15</v>
      </c>
      <c r="D10" s="33">
        <f t="shared" si="0"/>
        <v>1.5554999999999999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92</v>
      </c>
      <c r="C11" s="32">
        <v>0.1245</v>
      </c>
      <c r="D11" s="33">
        <f t="shared" si="0"/>
        <v>1.2910649999999999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35</v>
      </c>
      <c r="C12" s="32">
        <v>2.5499999999999998E-2</v>
      </c>
      <c r="D12" s="33">
        <f t="shared" si="0"/>
        <v>0.26443499999999998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0.99999999999999989</v>
      </c>
      <c r="D19" s="38">
        <f>SUM(D9:D18)</f>
        <v>10.37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36</v>
      </c>
      <c r="C36" s="60"/>
      <c r="D36" s="60">
        <v>0</v>
      </c>
      <c r="E36" s="51"/>
      <c r="F36" s="51"/>
      <c r="G36" s="51"/>
      <c r="H36" s="51"/>
      <c r="I36" s="49">
        <f>IFERROR(B36/A36,"")</f>
        <v>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v>81</v>
      </c>
      <c r="C37" s="60">
        <v>1</v>
      </c>
      <c r="D37" s="60">
        <v>15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11.25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v>119</v>
      </c>
      <c r="C38" s="60">
        <v>2</v>
      </c>
      <c r="D38" s="60">
        <v>22</v>
      </c>
      <c r="E38" s="51">
        <v>0.1</v>
      </c>
      <c r="F38" s="51">
        <v>0.45</v>
      </c>
      <c r="G38" s="51">
        <v>0.45</v>
      </c>
      <c r="H38" s="51"/>
      <c r="I38" s="53">
        <f t="shared" si="1"/>
        <v>13.25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v>157</v>
      </c>
      <c r="C39" s="60">
        <v>3</v>
      </c>
      <c r="D39" s="60">
        <v>31</v>
      </c>
      <c r="E39" s="51">
        <v>0.2</v>
      </c>
      <c r="F39" s="51">
        <v>0.4</v>
      </c>
      <c r="G39" s="51">
        <v>0.4</v>
      </c>
      <c r="H39" s="51"/>
      <c r="I39" s="49">
        <f t="shared" si="1"/>
        <v>15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v>190</v>
      </c>
      <c r="C40" s="60">
        <v>4</v>
      </c>
      <c r="D40" s="60">
        <v>35</v>
      </c>
      <c r="E40" s="51">
        <v>0.3</v>
      </c>
      <c r="F40" s="51">
        <v>0.35</v>
      </c>
      <c r="G40" s="51">
        <v>0.35</v>
      </c>
      <c r="H40" s="51"/>
      <c r="I40" s="49">
        <f t="shared" si="1"/>
        <v>16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v>244</v>
      </c>
      <c r="C41" s="60">
        <v>5</v>
      </c>
      <c r="D41" s="60">
        <v>46</v>
      </c>
      <c r="E41" s="51"/>
      <c r="F41" s="51"/>
      <c r="G41" s="51"/>
      <c r="H41" s="51"/>
      <c r="I41" s="53">
        <f t="shared" si="1"/>
        <v>14.833333333333334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v>275</v>
      </c>
      <c r="C42" s="60">
        <v>6</v>
      </c>
      <c r="D42" s="60">
        <v>41</v>
      </c>
      <c r="E42" s="51"/>
      <c r="F42" s="51"/>
      <c r="G42" s="51"/>
      <c r="H42" s="51"/>
      <c r="I42" s="53">
        <f t="shared" si="1"/>
        <v>12.833333333333334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v>293</v>
      </c>
      <c r="C43" s="60">
        <v>7</v>
      </c>
      <c r="D43" s="60">
        <v>29</v>
      </c>
      <c r="E43" s="51"/>
      <c r="F43" s="51"/>
      <c r="G43" s="51"/>
      <c r="H43" s="51"/>
      <c r="I43" s="49">
        <f t="shared" si="1"/>
        <v>9.8333333333333339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v>311</v>
      </c>
      <c r="C44" s="60">
        <v>8</v>
      </c>
      <c r="D44" s="60">
        <v>16</v>
      </c>
      <c r="E44" s="51"/>
      <c r="F44" s="51"/>
      <c r="G44" s="51"/>
      <c r="H44" s="51"/>
      <c r="I44" s="49">
        <f t="shared" si="1"/>
        <v>5.875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v>316</v>
      </c>
      <c r="C45" s="60">
        <v>9</v>
      </c>
      <c r="D45" s="60">
        <v>316</v>
      </c>
      <c r="E45" s="51"/>
      <c r="F45" s="51"/>
      <c r="G45" s="51"/>
      <c r="H45" s="51"/>
      <c r="I45" s="49">
        <f t="shared" si="1"/>
        <v>2.625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91</v>
      </c>
      <c r="C62" s="60">
        <v>1</v>
      </c>
      <c r="D62" s="60">
        <v>3</v>
      </c>
      <c r="E62" s="51"/>
      <c r="F62" s="51">
        <v>0.5</v>
      </c>
      <c r="G62" s="51">
        <v>0.5</v>
      </c>
      <c r="H62" s="51"/>
      <c r="I62" s="53">
        <f>IFERROR(B62/A62,"")</f>
        <v>4.55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218</v>
      </c>
      <c r="C63" s="60">
        <v>2</v>
      </c>
      <c r="D63" s="60">
        <v>70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13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285</v>
      </c>
      <c r="C64" s="60">
        <v>3</v>
      </c>
      <c r="D64" s="60">
        <v>70</v>
      </c>
      <c r="E64" s="51"/>
      <c r="F64" s="51"/>
      <c r="G64" s="51"/>
      <c r="H64" s="51"/>
      <c r="I64" s="49">
        <f>IF(A64&lt;&gt;0,(B64-(B63-D63))/(A64-A63),"")</f>
        <v>13.7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343</v>
      </c>
      <c r="C65" s="60">
        <v>4</v>
      </c>
      <c r="D65" s="60">
        <v>70</v>
      </c>
      <c r="E65" s="51"/>
      <c r="F65" s="51"/>
      <c r="G65" s="51"/>
      <c r="H65" s="51"/>
      <c r="I65" s="49">
        <f>IF(A65&lt;&gt;0,(B65-(B64-D64))/(A65-A64),"")</f>
        <v>12.8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387</v>
      </c>
      <c r="C66" s="60">
        <v>5</v>
      </c>
      <c r="D66" s="60">
        <v>57</v>
      </c>
      <c r="E66" s="51"/>
      <c r="F66" s="51"/>
      <c r="G66" s="51"/>
      <c r="H66" s="51"/>
      <c r="I66" s="49">
        <f t="shared" ref="I66:I81" si="2">IF(A66&lt;&gt;0,(B66-(B65-D65))/(A66-A65),"")</f>
        <v>11.4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422</v>
      </c>
      <c r="C67" s="60">
        <v>6</v>
      </c>
      <c r="D67" s="60">
        <v>44</v>
      </c>
      <c r="E67" s="51"/>
      <c r="F67" s="51"/>
      <c r="G67" s="51"/>
      <c r="H67" s="51"/>
      <c r="I67" s="49">
        <f t="shared" si="2"/>
        <v>9.1999999999999993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450</v>
      </c>
      <c r="C68" s="60">
        <v>7</v>
      </c>
      <c r="D68" s="60">
        <f>B68</f>
        <v>450</v>
      </c>
      <c r="E68" s="51"/>
      <c r="F68" s="51"/>
      <c r="G68" s="51"/>
      <c r="H68" s="51"/>
      <c r="I68" s="49">
        <f t="shared" si="2"/>
        <v>7.2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Thuya géant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103</v>
      </c>
      <c r="C88" s="60"/>
      <c r="D88" s="60">
        <v>0</v>
      </c>
      <c r="E88" s="51"/>
      <c r="F88" s="51"/>
      <c r="G88" s="51"/>
      <c r="H88" s="87"/>
      <c r="I88" s="53">
        <f>IFERROR(B88/A88,"")</f>
        <v>5.15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314</v>
      </c>
      <c r="C89" s="60">
        <v>1</v>
      </c>
      <c r="D89" s="60">
        <f>42+56</f>
        <v>98</v>
      </c>
      <c r="E89" s="51">
        <v>0.2</v>
      </c>
      <c r="F89" s="51">
        <v>0.4</v>
      </c>
      <c r="G89" s="51">
        <v>0.4</v>
      </c>
      <c r="H89" s="87"/>
      <c r="I89" s="53">
        <f t="shared" ref="I89:I107" si="3">IF(A89&lt;&gt;0,(B89-(B88-D88))/(A89-A88),"")</f>
        <v>21.1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450</v>
      </c>
      <c r="C90" s="60">
        <v>2</v>
      </c>
      <c r="D90" s="60">
        <f>56+56</f>
        <v>112</v>
      </c>
      <c r="E90" s="87"/>
      <c r="F90" s="87"/>
      <c r="G90" s="87"/>
      <c r="H90" s="87"/>
      <c r="I90" s="53">
        <f t="shared" si="3"/>
        <v>23.4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555</v>
      </c>
      <c r="C91" s="60">
        <v>4</v>
      </c>
      <c r="D91" s="60">
        <f>56+56</f>
        <v>112</v>
      </c>
      <c r="E91" s="87"/>
      <c r="F91" s="87"/>
      <c r="G91" s="87"/>
      <c r="H91" s="87"/>
      <c r="I91" s="53">
        <f t="shared" si="3"/>
        <v>21.7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633</v>
      </c>
      <c r="C92" s="60">
        <v>5</v>
      </c>
      <c r="D92" s="60">
        <f>56+50</f>
        <v>106</v>
      </c>
      <c r="E92" s="87"/>
      <c r="F92" s="87"/>
      <c r="G92" s="87"/>
      <c r="H92" s="87"/>
      <c r="I92" s="53">
        <f t="shared" si="3"/>
        <v>19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691</v>
      </c>
      <c r="C93" s="60">
        <v>6</v>
      </c>
      <c r="D93" s="60">
        <f>44+41</f>
        <v>85</v>
      </c>
      <c r="E93" s="87"/>
      <c r="F93" s="87"/>
      <c r="G93" s="87"/>
      <c r="H93" s="87"/>
      <c r="I93" s="53">
        <f t="shared" si="3"/>
        <v>16.399999999999999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f>671+39+37</f>
        <v>747</v>
      </c>
      <c r="C94" s="60">
        <v>7</v>
      </c>
      <c r="D94" s="60">
        <f>B94</f>
        <v>747</v>
      </c>
      <c r="E94" s="87"/>
      <c r="F94" s="87"/>
      <c r="G94" s="87"/>
      <c r="H94" s="87"/>
      <c r="I94" s="53">
        <f t="shared" si="3"/>
        <v>14.1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Pin laricio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91</v>
      </c>
      <c r="C114" s="50">
        <v>1</v>
      </c>
      <c r="D114" s="60">
        <v>3</v>
      </c>
      <c r="E114" s="51"/>
      <c r="F114" s="51">
        <v>0.5</v>
      </c>
      <c r="G114" s="51">
        <v>0.5</v>
      </c>
      <c r="H114" s="51"/>
      <c r="I114" s="53">
        <f>IFERROR(B114/A114,"")</f>
        <v>4.55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218</v>
      </c>
      <c r="C115" s="50">
        <v>2</v>
      </c>
      <c r="D115" s="60">
        <v>70</v>
      </c>
      <c r="E115" s="51">
        <v>0.2</v>
      </c>
      <c r="F115" s="51">
        <v>0.4</v>
      </c>
      <c r="G115" s="51">
        <v>0.4</v>
      </c>
      <c r="H115" s="51"/>
      <c r="I115" s="53">
        <f t="shared" ref="I115:I133" si="4">IF(A115&lt;&gt;0,(B115-(B114-D114))/(A115-A114),"")</f>
        <v>13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v>285</v>
      </c>
      <c r="C116" s="50">
        <v>3</v>
      </c>
      <c r="D116" s="60">
        <v>70</v>
      </c>
      <c r="E116" s="51"/>
      <c r="F116" s="51"/>
      <c r="G116" s="51"/>
      <c r="H116" s="51"/>
      <c r="I116" s="53">
        <f t="shared" si="4"/>
        <v>13.7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v>343</v>
      </c>
      <c r="C117" s="50">
        <v>4</v>
      </c>
      <c r="D117" s="60">
        <v>70</v>
      </c>
      <c r="E117" s="51"/>
      <c r="F117" s="51"/>
      <c r="G117" s="51"/>
      <c r="H117" s="51"/>
      <c r="I117" s="53">
        <f t="shared" si="4"/>
        <v>12.8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v>387</v>
      </c>
      <c r="C118" s="50">
        <v>5</v>
      </c>
      <c r="D118" s="60">
        <v>57</v>
      </c>
      <c r="E118" s="51"/>
      <c r="F118" s="51"/>
      <c r="G118" s="51"/>
      <c r="H118" s="51"/>
      <c r="I118" s="53">
        <f t="shared" si="4"/>
        <v>11.4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v>422</v>
      </c>
      <c r="C119" s="50">
        <v>6</v>
      </c>
      <c r="D119" s="60">
        <v>44</v>
      </c>
      <c r="E119" s="51"/>
      <c r="F119" s="51"/>
      <c r="G119" s="51"/>
      <c r="H119" s="51"/>
      <c r="I119" s="53">
        <f t="shared" si="4"/>
        <v>9.1999999999999993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v>450</v>
      </c>
      <c r="C120" s="60">
        <v>7</v>
      </c>
      <c r="D120" s="60">
        <f>B120</f>
        <v>450</v>
      </c>
      <c r="E120" s="87"/>
      <c r="F120" s="87"/>
      <c r="G120" s="87"/>
      <c r="H120" s="87"/>
      <c r="I120" s="53">
        <f t="shared" si="4"/>
        <v>7.2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Pin taeda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Thuya géant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Pin laricio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191.77102466144095</v>
      </c>
      <c r="T3" s="59">
        <f>IF('Données projet'!E9&gt;30,$R$33-$H$33,LOOKUP('Données projet'!$E$9,$A$3:$A$203,R3:R203)-LOOKUP('Données projet'!$E$9,$A$3:$A$203,$H$3:$H$203))</f>
        <v>205.57161411620217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247.30892363953825</v>
      </c>
      <c r="AO3" s="59">
        <f>IF('Données projet'!E10&gt;30,$AM$33-$H$33,LOOKUP('Données projet'!$E$10,$A$3:$A$203,AM3:AM203)-LOOKUP('Données projet'!$E$10,$A$3:$A$203,$H$3:$H$203))</f>
        <v>248.38414731596578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265.97106059040101</v>
      </c>
      <c r="BJ3" s="59">
        <f>IF('Données projet'!E11&gt;30,$BH$33-$H$33,LOOKUP('Données projet'!$E$11,$A$3:$A$203,BH3:BH203)-LOOKUP('Données projet'!$E$11,$A$3:$A$203,$H$3:$H$203))</f>
        <v>240.18718869578237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247.30892363953825</v>
      </c>
      <c r="CE3" s="59">
        <f>IF('Données projet'!E12&gt;30,$CC$33-$H$33,LOOKUP('Données projet'!$E$12,$A$3:$A$203,CC3:CC203)-LOOKUP('Données projet'!$E$12,$A$3:$A$203,$H$3:$H$203))</f>
        <v>248.38414731596578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</v>
      </c>
      <c r="N4" s="13">
        <f>IF('Données projet'!$A$36&gt;35,N3+M4-V3,IF(A4&lt;'Données projet'!$A$36,$K$205^A4,IF(A4='Données projet'!$A$36,'Données projet'!$B$36,N3+M4-V3)))</f>
        <v>1.3480061545972777</v>
      </c>
      <c r="O4" s="13">
        <f>N4*VLOOKUP('Données projet'!$B$9,Paramètres!$A$1:$I$89,3,0)*VLOOKUP('Données projet'!$B$9,Paramètres!$A$1:$I$89,5,0)</f>
        <v>0.80610768044917203</v>
      </c>
      <c r="P4" s="13">
        <f>EXP(-1.0587+0.8836*LN(O4)+0.284)</f>
        <v>0.38092631183578585</v>
      </c>
      <c r="Q4" s="20">
        <f t="shared" ref="Q4:Q34" si="2">(O4+P4)*0.475*44/12</f>
        <v>2.0674175365629677</v>
      </c>
      <c r="R4" s="59">
        <f t="shared" si="0"/>
        <v>295.40075086989629</v>
      </c>
      <c r="S4" s="59">
        <f ca="1">AVERAGE(OFFSET($R$3,0,0,'Données projet'!$E$9+1,1))-AVERAGE(OFFSET($H$3,0,0,'Données projet'!$E$9+1,1))</f>
        <v>191.77102466144095</v>
      </c>
      <c r="T4" s="59">
        <f>$T$3</f>
        <v>205.57161411620217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4.55</v>
      </c>
      <c r="AI4" s="13">
        <f>IF('Données projet'!$A$62&gt;35,AI3+AH4-AQ3,IF(A4&lt;'Données projet'!$A$62,$AF$205^A4,IF(A4='Données projet'!$A$62,'Données projet'!$B$62,AI3+AH4-AQ3)))</f>
        <v>1.2530028811664373</v>
      </c>
      <c r="AJ4" s="13">
        <f>AI4*VLOOKUP('Données projet'!$B$10,Paramètres!$A$1:$I$89,3,0)*VLOOKUP('Données projet'!$B$10,Paramètres!$A$1:$I$89,5,0)</f>
        <v>0.74929572293752955</v>
      </c>
      <c r="AK4" s="13">
        <f>EXP(-1.0587+0.8836*LN(AJ4)+0.284)</f>
        <v>0.35710479340754359</v>
      </c>
      <c r="AL4" s="20">
        <f t="shared" ref="AL4:AL67" si="4">(AJ4+AK4)*0.475*44/12</f>
        <v>1.9269808993010022</v>
      </c>
      <c r="AM4" s="59">
        <f t="shared" ref="AM4:AM67" si="5">AL4+(AD4+AE4)*44/12</f>
        <v>295.2603142326343</v>
      </c>
      <c r="AN4" s="59">
        <f ca="1">AVERAGE(OFFSET($AM$3,0,0,'Données projet'!$E$10+1,1))-AVERAGE(OFFSET($H$3,0,0,'Données projet'!$E$10+1,1))</f>
        <v>247.30892363953825</v>
      </c>
      <c r="AO4" s="59">
        <f>$AO$3</f>
        <v>248.38414731596578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5.15</v>
      </c>
      <c r="BD4" s="12">
        <f>IF('Données projet'!$A$88&gt;35,BD3+BC4-BL3,IF(A4&lt;'Données projet'!$A$88,$BA$205^A4,IF(A4='Données projet'!$A$88,'Données projet'!$B$88,BD3+BC4-BL3)))</f>
        <v>1.26078740377576</v>
      </c>
      <c r="BE4" s="13">
        <f>BD4*VLOOKUP('Données projet'!$B$11,Paramètres!$A$1:$I$89,3,0)*VLOOKUP('Données projet'!$B$11,Paramètres!$A$1:$I$89,5,0)</f>
        <v>0.5080973237216313</v>
      </c>
      <c r="BF4" s="13">
        <f>EXP(-1.0587+0.8836*LN(BE4)+0.284)</f>
        <v>0.25335340894540215</v>
      </c>
      <c r="BG4" s="20">
        <f t="shared" ref="BG4:BG67" si="7">(BE4+BF4)*0.475*44/12</f>
        <v>1.3261933593950832</v>
      </c>
      <c r="BH4" s="59">
        <f t="shared" ref="BH4:BH67" si="8">BG4+(AY4+AZ4)*44/12</f>
        <v>294.65952669272838</v>
      </c>
      <c r="BI4" s="59">
        <f ca="1">AVERAGE(OFFSET($BH$3,0,0,'Données projet'!$E$11+1,1))-AVERAGE(OFFSET($H$3,0,0,'Données projet'!$E$11+1,1))</f>
        <v>265.97106059040101</v>
      </c>
      <c r="BJ4" s="59">
        <f>$BJ$3</f>
        <v>240.18718869578237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4.55</v>
      </c>
      <c r="BY4" s="12">
        <f>IF('Données projet'!$A$114&gt;35,BY3+BX4-CG3,IF(A4&lt;'Données projet'!$A$114,$BV$205^A4,IF(A4='Données projet'!$A$114,'Données projet'!$B$114,BY3+BX4-CG3)))</f>
        <v>1.2530028811664373</v>
      </c>
      <c r="BZ4" s="13">
        <f>BY4*VLOOKUP('Données projet'!$B$12,Paramètres!$A$1:$I$89,3,0)*VLOOKUP('Données projet'!$B$12,Paramètres!$A$1:$I$89,5,0)</f>
        <v>0.74929572293752955</v>
      </c>
      <c r="CA4" s="13">
        <f>EXP(-1.0587+0.8836*LN(BZ4)+0.284)</f>
        <v>0.35710479340754359</v>
      </c>
      <c r="CB4" s="20">
        <f t="shared" ref="CB4:CB67" si="10">(BZ4+CA4)*0.475*44/12</f>
        <v>1.9269808993010022</v>
      </c>
      <c r="CC4" s="59">
        <f t="shared" ref="CC4:CC67" si="11">CB4+(BT4+BU4)*44/12</f>
        <v>295.2603142326343</v>
      </c>
      <c r="CD4" s="59">
        <f ca="1">AVERAGE(OFFSET($CC$3,0,0,'Données projet'!$E$12+1,1))-AVERAGE(OFFSET($H$3,0,0,'Données projet'!$E$12+1,1))</f>
        <v>247.30892363953825</v>
      </c>
      <c r="CE4" s="59">
        <f>$CE$3</f>
        <v>248.38414731596578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</v>
      </c>
      <c r="N5" s="13">
        <f>IF('Données projet'!$A$36&gt;35,N4+M5-V4,IF(A5&lt;'Données projet'!$A$36,$K$205^A5,IF(A5='Données projet'!$A$36,'Données projet'!$B$36,N4+M5-V4)))</f>
        <v>1.8171205928321397</v>
      </c>
      <c r="O5" s="13">
        <f>N5*VLOOKUP('Données projet'!$B$9,Paramètres!$A$1:$I$89,3,0)*VLOOKUP('Données projet'!$B$9,Paramètres!$A$1:$I$89,5,0)</f>
        <v>1.0866381145136197</v>
      </c>
      <c r="P5" s="13">
        <f t="shared" ref="P5:P68" si="33">EXP(-1.0587+0.8836*LN(O5)+0.284)</f>
        <v>0.49594865026181029</v>
      </c>
      <c r="Q5" s="20">
        <f t="shared" si="2"/>
        <v>2.7563386153172069</v>
      </c>
      <c r="R5" s="59">
        <f t="shared" si="0"/>
        <v>296.0896719486505</v>
      </c>
      <c r="S5" s="59">
        <f ca="1">AVERAGE(OFFSET($R$3,0,0,'Données projet'!$E$9+1,1))-AVERAGE(OFFSET($H$3,0,0,'Données projet'!$E$9+1,1))</f>
        <v>191.77102466144095</v>
      </c>
      <c r="T5" s="59">
        <f t="shared" ref="T5:T68" si="34">$T$3</f>
        <v>205.57161411620217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4.55</v>
      </c>
      <c r="AI5" s="13">
        <f>IF('Données projet'!$A$62&gt;35,AI4+AH5-AQ4,IF(A5&lt;'Données projet'!$A$62,$AF$205^A5,IF(A5='Données projet'!$A$62,'Données projet'!$B$62,AI4+AH5-AQ4)))</f>
        <v>1.570016220211393</v>
      </c>
      <c r="AJ5" s="13">
        <f>AI5*VLOOKUP('Données projet'!$B$10,Paramètres!$A$1:$I$89,3,0)*VLOOKUP('Données projet'!$B$10,Paramètres!$A$1:$I$89,5,0)</f>
        <v>0.9388696996864131</v>
      </c>
      <c r="AK5" s="13">
        <f t="shared" ref="AK5:AK68" si="35">EXP(-1.0587+0.8836*LN(AJ5)+0.284)</f>
        <v>0.43585911075604999</v>
      </c>
      <c r="AL5" s="20">
        <f t="shared" si="4"/>
        <v>2.3943193448539568</v>
      </c>
      <c r="AM5" s="59">
        <f t="shared" si="5"/>
        <v>295.72765267818727</v>
      </c>
      <c r="AN5" s="59">
        <f ca="1">AVERAGE(OFFSET($AM$3,0,0,'Données projet'!$E$10+1,1))-AVERAGE(OFFSET($H$3,0,0,'Données projet'!$E$10+1,1))</f>
        <v>247.30892363953825</v>
      </c>
      <c r="AO5" s="59">
        <f t="shared" ref="AO5:AO68" si="36">$AO$3</f>
        <v>248.38414731596578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5.15</v>
      </c>
      <c r="BD5" s="12">
        <f>IF('Données projet'!$A$88&gt;35,BD4+BC5-BL4,IF(A5&lt;'Données projet'!$A$88,$BA$205^A5,IF(A5='Données projet'!$A$88,'Données projet'!$B$88,BD4+BC5-BL4)))</f>
        <v>1.5895848775196213</v>
      </c>
      <c r="BE5" s="13">
        <f>BD5*VLOOKUP('Données projet'!$B$11,Paramètres!$A$1:$I$89,3,0)*VLOOKUP('Données projet'!$B$11,Paramètres!$A$1:$I$89,5,0)</f>
        <v>0.64060270564040744</v>
      </c>
      <c r="BF5" s="13">
        <f t="shared" ref="BF5:BF68" si="37">EXP(-1.0587+0.8836*LN(BE5)+0.284)</f>
        <v>0.31092375271746686</v>
      </c>
      <c r="BG5" s="20">
        <f t="shared" si="7"/>
        <v>1.6572419149732978</v>
      </c>
      <c r="BH5" s="59">
        <f t="shared" si="8"/>
        <v>294.99057524830658</v>
      </c>
      <c r="BI5" s="59">
        <f ca="1">AVERAGE(OFFSET($BH$3,0,0,'Données projet'!$E$11+1,1))-AVERAGE(OFFSET($H$3,0,0,'Données projet'!$E$11+1,1))</f>
        <v>265.97106059040101</v>
      </c>
      <c r="BJ5" s="59">
        <f t="shared" ref="BJ5:BJ68" si="38">$BJ$3</f>
        <v>240.18718869578237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4.55</v>
      </c>
      <c r="BY5" s="12">
        <f>IF('Données projet'!$A$114&gt;35,BY4+BX5-CG4,IF(A5&lt;'Données projet'!$A$114,$BV$205^A5,IF(A5='Données projet'!$A$114,'Données projet'!$B$114,BY4+BX5-CG4)))</f>
        <v>1.570016220211393</v>
      </c>
      <c r="BZ5" s="13">
        <f>BY5*VLOOKUP('Données projet'!$B$12,Paramètres!$A$1:$I$89,3,0)*VLOOKUP('Données projet'!$B$12,Paramètres!$A$1:$I$89,5,0)</f>
        <v>0.9388696996864131</v>
      </c>
      <c r="CA5" s="13">
        <f t="shared" ref="CA5:CA68" si="39">EXP(-1.0587+0.8836*LN(BZ5)+0.284)</f>
        <v>0.43585911075604999</v>
      </c>
      <c r="CB5" s="20">
        <f t="shared" si="10"/>
        <v>2.3943193448539568</v>
      </c>
      <c r="CC5" s="59">
        <f t="shared" si="11"/>
        <v>295.72765267818727</v>
      </c>
      <c r="CD5" s="59">
        <f ca="1">AVERAGE(OFFSET($CC$3,0,0,'Données projet'!$E$12+1,1))-AVERAGE(OFFSET($H$3,0,0,'Données projet'!$E$12+1,1))</f>
        <v>247.30892363953825</v>
      </c>
      <c r="CE5" s="59">
        <f t="shared" ref="CE5:CE68" si="40">$CE$3</f>
        <v>248.38414731596578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</v>
      </c>
      <c r="N6" s="13">
        <f>IF('Données projet'!$A$36&gt;35,N5+M6-V5,IF(A6&lt;'Données projet'!$A$36,$K$205^A6,IF(A6='Données projet'!$A$36,'Données projet'!$B$36,N5+M6-V5)))</f>
        <v>2.4494897427831783</v>
      </c>
      <c r="O6" s="13">
        <f>N6*VLOOKUP('Données projet'!$B$9,Paramètres!$A$1:$I$89,3,0)*VLOOKUP('Données projet'!$B$9,Paramètres!$A$1:$I$89,5,0)</f>
        <v>1.4647948661843406</v>
      </c>
      <c r="P6" s="13">
        <f t="shared" si="33"/>
        <v>0.64570247854798968</v>
      </c>
      <c r="Q6" s="20">
        <f t="shared" si="2"/>
        <v>3.6757828754088084</v>
      </c>
      <c r="R6" s="59">
        <f t="shared" si="0"/>
        <v>297.00911620874211</v>
      </c>
      <c r="S6" s="59">
        <f ca="1">AVERAGE(OFFSET($R$3,0,0,'Données projet'!$E$9+1,1))-AVERAGE(OFFSET($H$3,0,0,'Données projet'!$E$9+1,1))</f>
        <v>191.77102466144095</v>
      </c>
      <c r="T6" s="59">
        <f t="shared" si="34"/>
        <v>205.57161411620217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4.55</v>
      </c>
      <c r="AI6" s="13">
        <f>IF('Données projet'!$A$62&gt;35,AI5+AH6-AQ5,IF(A6&lt;'Données projet'!$A$62,$AF$205^A6,IF(A6='Données projet'!$A$62,'Données projet'!$B$62,AI5+AH6-AQ5)))</f>
        <v>1.9672348474029151</v>
      </c>
      <c r="AJ6" s="13">
        <f>AI6*VLOOKUP('Données projet'!$B$10,Paramètres!$A$1:$I$89,3,0)*VLOOKUP('Données projet'!$B$10,Paramètres!$A$1:$I$89,5,0)</f>
        <v>1.1764064387469433</v>
      </c>
      <c r="AK6" s="13">
        <f t="shared" si="35"/>
        <v>0.53198155817597481</v>
      </c>
      <c r="AL6" s="20">
        <f t="shared" si="4"/>
        <v>2.9754424279740825</v>
      </c>
      <c r="AM6" s="59">
        <f t="shared" si="5"/>
        <v>296.3087757613074</v>
      </c>
      <c r="AN6" s="59">
        <f ca="1">AVERAGE(OFFSET($AM$3,0,0,'Données projet'!$E$10+1,1))-AVERAGE(OFFSET($H$3,0,0,'Données projet'!$E$10+1,1))</f>
        <v>247.30892363953825</v>
      </c>
      <c r="AO6" s="59">
        <f t="shared" si="36"/>
        <v>248.38414731596578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5.15</v>
      </c>
      <c r="BD6" s="12">
        <f>IF('Données projet'!$A$88&gt;35,BD5+BC6-BL5,IF(A6&lt;'Données projet'!$A$88,$BA$205^A6,IF(A6='Données projet'!$A$88,'Données projet'!$B$88,BD5+BC6-BL5)))</f>
        <v>2.0041285908091728</v>
      </c>
      <c r="BE6" s="13">
        <f>BD6*VLOOKUP('Données projet'!$B$11,Paramètres!$A$1:$I$89,3,0)*VLOOKUP('Données projet'!$B$11,Paramètres!$A$1:$I$89,5,0)</f>
        <v>0.80766382209609666</v>
      </c>
      <c r="BF6" s="13">
        <f t="shared" si="37"/>
        <v>0.38157599854812174</v>
      </c>
      <c r="BG6" s="20">
        <f t="shared" si="7"/>
        <v>2.0712593542886806</v>
      </c>
      <c r="BH6" s="59">
        <f t="shared" si="8"/>
        <v>295.40459268762197</v>
      </c>
      <c r="BI6" s="59">
        <f ca="1">AVERAGE(OFFSET($BH$3,0,0,'Données projet'!$E$11+1,1))-AVERAGE(OFFSET($H$3,0,0,'Données projet'!$E$11+1,1))</f>
        <v>265.97106059040101</v>
      </c>
      <c r="BJ6" s="59">
        <f t="shared" si="38"/>
        <v>240.18718869578237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4.55</v>
      </c>
      <c r="BY6" s="12">
        <f>IF('Données projet'!$A$114&gt;35,BY5+BX6-CG5,IF(A6&lt;'Données projet'!$A$114,$BV$205^A6,IF(A6='Données projet'!$A$114,'Données projet'!$B$114,BY5+BX6-CG5)))</f>
        <v>1.9672348474029151</v>
      </c>
      <c r="BZ6" s="13">
        <f>BY6*VLOOKUP('Données projet'!$B$12,Paramètres!$A$1:$I$89,3,0)*VLOOKUP('Données projet'!$B$12,Paramètres!$A$1:$I$89,5,0)</f>
        <v>1.1764064387469433</v>
      </c>
      <c r="CA6" s="13">
        <f t="shared" si="39"/>
        <v>0.53198155817597481</v>
      </c>
      <c r="CB6" s="20">
        <f t="shared" si="10"/>
        <v>2.9754424279740825</v>
      </c>
      <c r="CC6" s="59">
        <f t="shared" si="11"/>
        <v>296.3087757613074</v>
      </c>
      <c r="CD6" s="59">
        <f ca="1">AVERAGE(OFFSET($CC$3,0,0,'Données projet'!$E$12+1,1))-AVERAGE(OFFSET($H$3,0,0,'Données projet'!$E$12+1,1))</f>
        <v>247.30892363953825</v>
      </c>
      <c r="CE6" s="59">
        <f t="shared" si="40"/>
        <v>248.38414731596578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</v>
      </c>
      <c r="N7" s="13">
        <f>IF('Données projet'!$A$36&gt;35,N6+M7-V6,IF(A7&lt;'Données projet'!$A$36,$K$205^A7,IF(A7='Données projet'!$A$36,'Données projet'!$B$36,N6+M7-V6)))</f>
        <v>3.3019272488946267</v>
      </c>
      <c r="O7" s="13">
        <f>N7*VLOOKUP('Données projet'!$B$9,Paramètres!$A$1:$I$89,3,0)*VLOOKUP('Données projet'!$B$9,Paramètres!$A$1:$I$89,5,0)</f>
        <v>1.974552494838987</v>
      </c>
      <c r="P7" s="13">
        <f t="shared" si="33"/>
        <v>0.84067511945625772</v>
      </c>
      <c r="Q7" s="20">
        <f t="shared" si="2"/>
        <v>4.9031880948975504</v>
      </c>
      <c r="R7" s="59">
        <f t="shared" si="0"/>
        <v>298.23652142823084</v>
      </c>
      <c r="S7" s="59">
        <f ca="1">AVERAGE(OFFSET($R$3,0,0,'Données projet'!$E$9+1,1))-AVERAGE(OFFSET($H$3,0,0,'Données projet'!$E$9+1,1))</f>
        <v>191.77102466144095</v>
      </c>
      <c r="T7" s="59">
        <f t="shared" si="34"/>
        <v>205.57161411620217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4.55</v>
      </c>
      <c r="AI7" s="13">
        <f>IF('Données projet'!$A$62&gt;35,AI6+AH7-AQ6,IF(A7&lt;'Données projet'!$A$62,$AF$205^A7,IF(A7='Données projet'!$A$62,'Données projet'!$B$62,AI6+AH7-AQ6)))</f>
        <v>2.4649509317268694</v>
      </c>
      <c r="AJ7" s="13">
        <f>AI7*VLOOKUP('Données projet'!$B$10,Paramètres!$A$1:$I$89,3,0)*VLOOKUP('Données projet'!$B$10,Paramètres!$A$1:$I$89,5,0)</f>
        <v>1.4740406571726681</v>
      </c>
      <c r="AK7" s="13">
        <f t="shared" si="35"/>
        <v>0.64930242653052039</v>
      </c>
      <c r="AL7" s="20">
        <f t="shared" si="4"/>
        <v>3.6981558707830531</v>
      </c>
      <c r="AM7" s="59">
        <f t="shared" si="5"/>
        <v>297.03148920411638</v>
      </c>
      <c r="AN7" s="59">
        <f ca="1">AVERAGE(OFFSET($AM$3,0,0,'Données projet'!$E$10+1,1))-AVERAGE(OFFSET($H$3,0,0,'Données projet'!$E$10+1,1))</f>
        <v>247.30892363953825</v>
      </c>
      <c r="AO7" s="59">
        <f t="shared" si="36"/>
        <v>248.38414731596578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5.15</v>
      </c>
      <c r="BD7" s="12">
        <f>IF('Données projet'!$A$88&gt;35,BD6+BC7-BL6,IF(A7&lt;'Données projet'!$A$88,$BA$205^A7,IF(A7='Données projet'!$A$88,'Données projet'!$B$88,BD6+BC7-BL6)))</f>
        <v>2.5267800828390694</v>
      </c>
      <c r="BE7" s="13">
        <f>BD7*VLOOKUP('Données projet'!$B$11,Paramètres!$A$1:$I$89,3,0)*VLOOKUP('Données projet'!$B$11,Paramètres!$A$1:$I$89,5,0)</f>
        <v>1.0182923733841451</v>
      </c>
      <c r="BF7" s="13">
        <f t="shared" si="37"/>
        <v>0.46828279086256119</v>
      </c>
      <c r="BG7" s="20">
        <f t="shared" si="7"/>
        <v>2.5891184110630134</v>
      </c>
      <c r="BH7" s="59">
        <f t="shared" si="8"/>
        <v>295.92245174439631</v>
      </c>
      <c r="BI7" s="59">
        <f ca="1">AVERAGE(OFFSET($BH$3,0,0,'Données projet'!$E$11+1,1))-AVERAGE(OFFSET($H$3,0,0,'Données projet'!$E$11+1,1))</f>
        <v>265.97106059040101</v>
      </c>
      <c r="BJ7" s="59">
        <f t="shared" si="38"/>
        <v>240.18718869578237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4.55</v>
      </c>
      <c r="BY7" s="12">
        <f>IF('Données projet'!$A$114&gt;35,BY6+BX7-CG6,IF(A7&lt;'Données projet'!$A$114,$BV$205^A7,IF(A7='Données projet'!$A$114,'Données projet'!$B$114,BY6+BX7-CG6)))</f>
        <v>2.4649509317268694</v>
      </c>
      <c r="BZ7" s="13">
        <f>BY7*VLOOKUP('Données projet'!$B$12,Paramètres!$A$1:$I$89,3,0)*VLOOKUP('Données projet'!$B$12,Paramètres!$A$1:$I$89,5,0)</f>
        <v>1.4740406571726681</v>
      </c>
      <c r="CA7" s="13">
        <f t="shared" si="39"/>
        <v>0.64930242653052039</v>
      </c>
      <c r="CB7" s="20">
        <f t="shared" si="10"/>
        <v>3.6981558707830531</v>
      </c>
      <c r="CC7" s="59">
        <f t="shared" si="11"/>
        <v>297.03148920411638</v>
      </c>
      <c r="CD7" s="59">
        <f ca="1">AVERAGE(OFFSET($CC$3,0,0,'Données projet'!$E$12+1,1))-AVERAGE(OFFSET($H$3,0,0,'Données projet'!$E$12+1,1))</f>
        <v>247.30892363953825</v>
      </c>
      <c r="CE7" s="59">
        <f t="shared" si="40"/>
        <v>248.38414731596578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</v>
      </c>
      <c r="N8" s="13">
        <f>IF('Données projet'!$A$36&gt;35,N7+M8-V7,IF(A8&lt;'Données projet'!$A$36,$K$205^A8,IF(A8='Données projet'!$A$36,'Données projet'!$B$36,N7+M8-V7)))</f>
        <v>4.4510182535424141</v>
      </c>
      <c r="O8" s="13">
        <f>N8*VLOOKUP('Données projet'!$B$9,Paramètres!$A$1:$I$89,3,0)*VLOOKUP('Données projet'!$B$9,Paramètres!$A$1:$I$89,5,0)</f>
        <v>2.6617089156183638</v>
      </c>
      <c r="P8" s="13">
        <f t="shared" si="33"/>
        <v>1.0945205879680817</v>
      </c>
      <c r="Q8" s="20">
        <f t="shared" si="2"/>
        <v>6.5420997187463925</v>
      </c>
      <c r="R8" s="59">
        <f t="shared" si="0"/>
        <v>299.8754330520797</v>
      </c>
      <c r="S8" s="59">
        <f ca="1">AVERAGE(OFFSET($R$3,0,0,'Données projet'!$E$9+1,1))-AVERAGE(OFFSET($H$3,0,0,'Données projet'!$E$9+1,1))</f>
        <v>191.77102466144095</v>
      </c>
      <c r="T8" s="59">
        <f t="shared" si="34"/>
        <v>205.57161411620217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4.55</v>
      </c>
      <c r="AI8" s="13">
        <f>IF('Données projet'!$A$62&gt;35,AI7+AH8-AQ7,IF(A8&lt;'Données projet'!$A$62,$AF$205^A8,IF(A8='Données projet'!$A$62,'Données projet'!$B$62,AI7+AH8-AQ7)))</f>
        <v>3.0885906193876616</v>
      </c>
      <c r="AJ8" s="13">
        <f>AI8*VLOOKUP('Données projet'!$B$10,Paramètres!$A$1:$I$89,3,0)*VLOOKUP('Données projet'!$B$10,Paramètres!$A$1:$I$89,5,0)</f>
        <v>1.8469771903938217</v>
      </c>
      <c r="AK8" s="13">
        <f t="shared" si="35"/>
        <v>0.79249672214945899</v>
      </c>
      <c r="AL8" s="20">
        <f t="shared" si="4"/>
        <v>4.59708373101288</v>
      </c>
      <c r="AM8" s="59">
        <f t="shared" si="5"/>
        <v>297.93041706434622</v>
      </c>
      <c r="AN8" s="59">
        <f ca="1">AVERAGE(OFFSET($AM$3,0,0,'Données projet'!$E$10+1,1))-AVERAGE(OFFSET($H$3,0,0,'Données projet'!$E$10+1,1))</f>
        <v>247.30892363953825</v>
      </c>
      <c r="AO8" s="59">
        <f t="shared" si="36"/>
        <v>248.38414731596578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5.15</v>
      </c>
      <c r="BD8" s="12">
        <f>IF('Données projet'!$A$88&gt;35,BD7+BC8-BL7,IF(A8&lt;'Données projet'!$A$88,$BA$205^A8,IF(A8='Données projet'!$A$88,'Données projet'!$B$88,BD7+BC8-BL7)))</f>
        <v>3.1857325005549701</v>
      </c>
      <c r="BE8" s="13">
        <f>BD8*VLOOKUP('Données projet'!$B$11,Paramètres!$A$1:$I$89,3,0)*VLOOKUP('Données projet'!$B$11,Paramètres!$A$1:$I$89,5,0)</f>
        <v>1.2838501977236529</v>
      </c>
      <c r="BF8" s="13">
        <f t="shared" si="37"/>
        <v>0.57469225803617729</v>
      </c>
      <c r="BG8" s="20">
        <f t="shared" si="7"/>
        <v>3.2369614437817043</v>
      </c>
      <c r="BH8" s="59">
        <f t="shared" si="8"/>
        <v>296.57029477711501</v>
      </c>
      <c r="BI8" s="59">
        <f ca="1">AVERAGE(OFFSET($BH$3,0,0,'Données projet'!$E$11+1,1))-AVERAGE(OFFSET($H$3,0,0,'Données projet'!$E$11+1,1))</f>
        <v>265.97106059040101</v>
      </c>
      <c r="BJ8" s="59">
        <f t="shared" si="38"/>
        <v>240.18718869578237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4.55</v>
      </c>
      <c r="BY8" s="12">
        <f>IF('Données projet'!$A$114&gt;35,BY7+BX8-CG7,IF(A8&lt;'Données projet'!$A$114,$BV$205^A8,IF(A8='Données projet'!$A$114,'Données projet'!$B$114,BY7+BX8-CG7)))</f>
        <v>3.0885906193876616</v>
      </c>
      <c r="BZ8" s="13">
        <f>BY8*VLOOKUP('Données projet'!$B$12,Paramètres!$A$1:$I$89,3,0)*VLOOKUP('Données projet'!$B$12,Paramètres!$A$1:$I$89,5,0)</f>
        <v>1.8469771903938217</v>
      </c>
      <c r="CA8" s="13">
        <f t="shared" si="39"/>
        <v>0.79249672214945899</v>
      </c>
      <c r="CB8" s="20">
        <f t="shared" si="10"/>
        <v>4.59708373101288</v>
      </c>
      <c r="CC8" s="59">
        <f t="shared" si="11"/>
        <v>297.93041706434622</v>
      </c>
      <c r="CD8" s="59">
        <f ca="1">AVERAGE(OFFSET($CC$3,0,0,'Données projet'!$E$12+1,1))-AVERAGE(OFFSET($H$3,0,0,'Données projet'!$E$12+1,1))</f>
        <v>247.30892363953825</v>
      </c>
      <c r="CE8" s="59">
        <f t="shared" si="40"/>
        <v>248.38414731596578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</v>
      </c>
      <c r="N9" s="13">
        <f>IF('Données projet'!$A$36&gt;35,N8+M9-V8,IF(A9&lt;'Données projet'!$A$36,$K$205^A9,IF(A9='Données projet'!$A$36,'Données projet'!$B$36,N8+M9-V8)))</f>
        <v>6</v>
      </c>
      <c r="O9" s="13">
        <f>N9*VLOOKUP('Données projet'!$B$9,Paramètres!$A$1:$I$89,3,0)*VLOOKUP('Données projet'!$B$9,Paramètres!$A$1:$I$89,5,0)</f>
        <v>3.5880000000000005</v>
      </c>
      <c r="P9" s="13">
        <f t="shared" si="33"/>
        <v>1.4250157876217819</v>
      </c>
      <c r="Q9" s="20">
        <f t="shared" si="2"/>
        <v>8.7310024967746021</v>
      </c>
      <c r="R9" s="59">
        <f t="shared" si="0"/>
        <v>302.06433583010789</v>
      </c>
      <c r="S9" s="59">
        <f ca="1">AVERAGE(OFFSET($R$3,0,0,'Données projet'!$E$9+1,1))-AVERAGE(OFFSET($H$3,0,0,'Données projet'!$E$9+1,1))</f>
        <v>191.77102466144095</v>
      </c>
      <c r="T9" s="59">
        <f t="shared" si="34"/>
        <v>205.57161411620217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4.55</v>
      </c>
      <c r="AI9" s="13">
        <f>IF('Données projet'!$A$62&gt;35,AI8+AH9-AQ8,IF(A9&lt;'Données projet'!$A$62,$AF$205^A9,IF(A9='Données projet'!$A$62,'Données projet'!$B$62,AI8+AH9-AQ8)))</f>
        <v>3.8700129448363709</v>
      </c>
      <c r="AJ9" s="13">
        <f>AI9*VLOOKUP('Données projet'!$B$10,Paramètres!$A$1:$I$89,3,0)*VLOOKUP('Données projet'!$B$10,Paramètres!$A$1:$I$89,5,0)</f>
        <v>2.3142677410121499</v>
      </c>
      <c r="AK9" s="13">
        <f t="shared" si="35"/>
        <v>0.96727045665540168</v>
      </c>
      <c r="AL9" s="20">
        <f t="shared" si="4"/>
        <v>5.7153456942709857</v>
      </c>
      <c r="AM9" s="59">
        <f t="shared" si="5"/>
        <v>299.04867902760429</v>
      </c>
      <c r="AN9" s="59">
        <f ca="1">AVERAGE(OFFSET($AM$3,0,0,'Données projet'!$E$10+1,1))-AVERAGE(OFFSET($H$3,0,0,'Données projet'!$E$10+1,1))</f>
        <v>247.30892363953825</v>
      </c>
      <c r="AO9" s="59">
        <f t="shared" si="36"/>
        <v>248.38414731596578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5.15</v>
      </c>
      <c r="BD9" s="12">
        <f>IF('Données projet'!$A$88&gt;35,BD8+BC9-BL8,IF(A9&lt;'Données projet'!$A$88,$BA$205^A9,IF(A9='Données projet'!$A$88,'Données projet'!$B$88,BD8+BC9-BL8)))</f>
        <v>4.0165314084987607</v>
      </c>
      <c r="BE9" s="13">
        <f>BD9*VLOOKUP('Données projet'!$B$11,Paramètres!$A$1:$I$89,3,0)*VLOOKUP('Données projet'!$B$11,Paramètres!$A$1:$I$89,5,0)</f>
        <v>1.6186621576250007</v>
      </c>
      <c r="BF9" s="13">
        <f t="shared" si="37"/>
        <v>0.705281504875231</v>
      </c>
      <c r="BG9" s="20">
        <f t="shared" si="7"/>
        <v>4.0475352121879027</v>
      </c>
      <c r="BH9" s="59">
        <f t="shared" si="8"/>
        <v>297.3808685455212</v>
      </c>
      <c r="BI9" s="59">
        <f ca="1">AVERAGE(OFFSET($BH$3,0,0,'Données projet'!$E$11+1,1))-AVERAGE(OFFSET($H$3,0,0,'Données projet'!$E$11+1,1))</f>
        <v>265.97106059040101</v>
      </c>
      <c r="BJ9" s="59">
        <f t="shared" si="38"/>
        <v>240.18718869578237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4.55</v>
      </c>
      <c r="BY9" s="12">
        <f>IF('Données projet'!$A$114&gt;35,BY8+BX9-CG8,IF(A9&lt;'Données projet'!$A$114,$BV$205^A9,IF(A9='Données projet'!$A$114,'Données projet'!$B$114,BY8+BX9-CG8)))</f>
        <v>3.8700129448363709</v>
      </c>
      <c r="BZ9" s="13">
        <f>BY9*VLOOKUP('Données projet'!$B$12,Paramètres!$A$1:$I$89,3,0)*VLOOKUP('Données projet'!$B$12,Paramètres!$A$1:$I$89,5,0)</f>
        <v>2.3142677410121499</v>
      </c>
      <c r="CA9" s="13">
        <f t="shared" si="39"/>
        <v>0.96727045665540168</v>
      </c>
      <c r="CB9" s="20">
        <f t="shared" si="10"/>
        <v>5.7153456942709857</v>
      </c>
      <c r="CC9" s="59">
        <f t="shared" si="11"/>
        <v>299.04867902760429</v>
      </c>
      <c r="CD9" s="59">
        <f ca="1">AVERAGE(OFFSET($CC$3,0,0,'Données projet'!$E$12+1,1))-AVERAGE(OFFSET($H$3,0,0,'Données projet'!$E$12+1,1))</f>
        <v>247.30892363953825</v>
      </c>
      <c r="CE9" s="59">
        <f t="shared" si="40"/>
        <v>248.38414731596578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</v>
      </c>
      <c r="N10" s="13">
        <f>IF('Données projet'!$A$36&gt;35,N9+M10-V9,IF(A10&lt;'Données projet'!$A$36,$K$205^A10,IF(A10='Données projet'!$A$36,'Données projet'!$B$36,N9+M10-V9)))</f>
        <v>8.0880369275836674</v>
      </c>
      <c r="O10" s="13">
        <f>N10*VLOOKUP('Données projet'!$B$9,Paramètres!$A$1:$I$89,3,0)*VLOOKUP('Données projet'!$B$9,Paramètres!$A$1:$I$89,5,0)</f>
        <v>4.836646082695033</v>
      </c>
      <c r="P10" s="13">
        <f t="shared" si="33"/>
        <v>1.8553054344470195</v>
      </c>
      <c r="Q10" s="20">
        <f t="shared" si="2"/>
        <v>11.65514889235574</v>
      </c>
      <c r="R10" s="59">
        <f t="shared" si="0"/>
        <v>304.98848222568904</v>
      </c>
      <c r="S10" s="59">
        <f ca="1">AVERAGE(OFFSET($R$3,0,0,'Données projet'!$E$9+1,1))-AVERAGE(OFFSET($H$3,0,0,'Données projet'!$E$9+1,1))</f>
        <v>191.77102466144095</v>
      </c>
      <c r="T10" s="59">
        <f t="shared" si="34"/>
        <v>205.57161411620217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4.55</v>
      </c>
      <c r="AI10" s="13">
        <f>IF('Données projet'!$A$62&gt;35,AI9+AH10-AQ9,IF(A10&lt;'Données projet'!$A$62,$AF$205^A10,IF(A10='Données projet'!$A$62,'Données projet'!$B$62,AI9+AH10-AQ9)))</f>
        <v>4.8491373700313813</v>
      </c>
      <c r="AJ10" s="13">
        <f>AI10*VLOOKUP('Données projet'!$B$10,Paramètres!$A$1:$I$89,3,0)*VLOOKUP('Données projet'!$B$10,Paramètres!$A$1:$I$89,5,0)</f>
        <v>2.8997841472787664</v>
      </c>
      <c r="AK10" s="13">
        <f t="shared" si="35"/>
        <v>1.1805880203273573</v>
      </c>
      <c r="AL10" s="20">
        <f t="shared" si="4"/>
        <v>7.1066481919139983</v>
      </c>
      <c r="AM10" s="59">
        <f t="shared" si="5"/>
        <v>300.43998152524733</v>
      </c>
      <c r="AN10" s="59">
        <f ca="1">AVERAGE(OFFSET($AM$3,0,0,'Données projet'!$E$10+1,1))-AVERAGE(OFFSET($H$3,0,0,'Données projet'!$E$10+1,1))</f>
        <v>247.30892363953825</v>
      </c>
      <c r="AO10" s="59">
        <f t="shared" si="36"/>
        <v>248.38414731596578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5.15</v>
      </c>
      <c r="BD10" s="12">
        <f>IF('Données projet'!$A$88&gt;35,BD9+BC10-BL9,IF(A10&lt;'Données projet'!$A$88,$BA$205^A10,IF(A10='Données projet'!$A$88,'Données projet'!$B$88,BD9+BC10-BL9)))</f>
        <v>5.063992206704949</v>
      </c>
      <c r="BE10" s="13">
        <f>BD10*VLOOKUP('Données projet'!$B$11,Paramètres!$A$1:$I$89,3,0)*VLOOKUP('Données projet'!$B$11,Paramètres!$A$1:$I$89,5,0)</f>
        <v>2.0407888593020944</v>
      </c>
      <c r="BF10" s="13">
        <f t="shared" si="37"/>
        <v>0.86554498370805866</v>
      </c>
      <c r="BG10" s="20">
        <f t="shared" si="7"/>
        <v>5.0618647765760167</v>
      </c>
      <c r="BH10" s="59">
        <f t="shared" si="8"/>
        <v>298.39519810990936</v>
      </c>
      <c r="BI10" s="59">
        <f ca="1">AVERAGE(OFFSET($BH$3,0,0,'Données projet'!$E$11+1,1))-AVERAGE(OFFSET($H$3,0,0,'Données projet'!$E$11+1,1))</f>
        <v>265.97106059040101</v>
      </c>
      <c r="BJ10" s="59">
        <f t="shared" si="38"/>
        <v>240.18718869578237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4.55</v>
      </c>
      <c r="BY10" s="12">
        <f>IF('Données projet'!$A$114&gt;35,BY9+BX10-CG9,IF(A10&lt;'Données projet'!$A$114,$BV$205^A10,IF(A10='Données projet'!$A$114,'Données projet'!$B$114,BY9+BX10-CG9)))</f>
        <v>4.8491373700313813</v>
      </c>
      <c r="BZ10" s="13">
        <f>BY10*VLOOKUP('Données projet'!$B$12,Paramètres!$A$1:$I$89,3,0)*VLOOKUP('Données projet'!$B$12,Paramètres!$A$1:$I$89,5,0)</f>
        <v>2.8997841472787664</v>
      </c>
      <c r="CA10" s="13">
        <f t="shared" si="39"/>
        <v>1.1805880203273573</v>
      </c>
      <c r="CB10" s="20">
        <f t="shared" si="10"/>
        <v>7.1066481919139983</v>
      </c>
      <c r="CC10" s="59">
        <f t="shared" si="11"/>
        <v>300.43998152524733</v>
      </c>
      <c r="CD10" s="59">
        <f ca="1">AVERAGE(OFFSET($CC$3,0,0,'Données projet'!$E$12+1,1))-AVERAGE(OFFSET($H$3,0,0,'Données projet'!$E$12+1,1))</f>
        <v>247.30892363953825</v>
      </c>
      <c r="CE10" s="59">
        <f t="shared" si="40"/>
        <v>248.38414731596578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</v>
      </c>
      <c r="N11" s="13">
        <f>IF('Données projet'!$A$36&gt;35,N10+M11-V10,IF(A11&lt;'Données projet'!$A$36,$K$205^A11,IF(A11='Données projet'!$A$36,'Données projet'!$B$36,N10+M11-V10)))</f>
        <v>10.902723556992838</v>
      </c>
      <c r="O11" s="13">
        <f>N11*VLOOKUP('Données projet'!$B$9,Paramètres!$A$1:$I$89,3,0)*VLOOKUP('Données projet'!$B$9,Paramètres!$A$1:$I$89,5,0)</f>
        <v>6.5198286870817181</v>
      </c>
      <c r="P11" s="13">
        <f t="shared" si="33"/>
        <v>2.4155228910363733</v>
      </c>
      <c r="Q11" s="20">
        <f t="shared" si="2"/>
        <v>15.562403998555673</v>
      </c>
      <c r="R11" s="59">
        <f t="shared" si="0"/>
        <v>308.89573733188899</v>
      </c>
      <c r="S11" s="59">
        <f ca="1">AVERAGE(OFFSET($R$3,0,0,'Données projet'!$E$9+1,1))-AVERAGE(OFFSET($H$3,0,0,'Données projet'!$E$9+1,1))</f>
        <v>191.77102466144095</v>
      </c>
      <c r="T11" s="59">
        <f t="shared" si="34"/>
        <v>205.57161411620217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4.55</v>
      </c>
      <c r="AI11" s="13">
        <f>IF('Données projet'!$A$62&gt;35,AI10+AH11-AQ10,IF(A11&lt;'Données projet'!$A$62,$AF$205^A11,IF(A11='Données projet'!$A$62,'Données projet'!$B$62,AI10+AH11-AQ10)))</f>
        <v>6.0759830958211616</v>
      </c>
      <c r="AJ11" s="13">
        <f>AI11*VLOOKUP('Données projet'!$B$10,Paramètres!$A$1:$I$89,3,0)*VLOOKUP('Données projet'!$B$10,Paramètres!$A$1:$I$89,5,0)</f>
        <v>3.633437891301055</v>
      </c>
      <c r="AK11" s="13">
        <f t="shared" si="35"/>
        <v>1.4409496993838373</v>
      </c>
      <c r="AL11" s="20">
        <f t="shared" si="4"/>
        <v>8.8378917204428529</v>
      </c>
      <c r="AM11" s="59">
        <f t="shared" si="5"/>
        <v>302.17122505377614</v>
      </c>
      <c r="AN11" s="59">
        <f ca="1">AVERAGE(OFFSET($AM$3,0,0,'Données projet'!$E$10+1,1))-AVERAGE(OFFSET($H$3,0,0,'Données projet'!$E$10+1,1))</f>
        <v>247.30892363953825</v>
      </c>
      <c r="AO11" s="59">
        <f t="shared" si="36"/>
        <v>248.38414731596578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5.15</v>
      </c>
      <c r="BD11" s="12">
        <f>IF('Données projet'!$A$88&gt;35,BD10+BC11-BL10,IF(A11&lt;'Données projet'!$A$88,$BA$205^A11,IF(A11='Données projet'!$A$88,'Données projet'!$B$88,BD10+BC11-BL10)))</f>
        <v>6.3846175870322144</v>
      </c>
      <c r="BE11" s="13">
        <f>BD11*VLOOKUP('Données projet'!$B$11,Paramètres!$A$1:$I$89,3,0)*VLOOKUP('Données projet'!$B$11,Paramètres!$A$1:$I$89,5,0)</f>
        <v>2.5730008875739827</v>
      </c>
      <c r="BF11" s="13">
        <f t="shared" si="37"/>
        <v>1.0622256696703203</v>
      </c>
      <c r="BG11" s="20">
        <f t="shared" si="7"/>
        <v>6.3313529205338277</v>
      </c>
      <c r="BH11" s="59">
        <f t="shared" si="8"/>
        <v>299.66468625386716</v>
      </c>
      <c r="BI11" s="59">
        <f ca="1">AVERAGE(OFFSET($BH$3,0,0,'Données projet'!$E$11+1,1))-AVERAGE(OFFSET($H$3,0,0,'Données projet'!$E$11+1,1))</f>
        <v>265.97106059040101</v>
      </c>
      <c r="BJ11" s="59">
        <f t="shared" si="38"/>
        <v>240.18718869578237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4.55</v>
      </c>
      <c r="BY11" s="12">
        <f>IF('Données projet'!$A$114&gt;35,BY10+BX11-CG10,IF(A11&lt;'Données projet'!$A$114,$BV$205^A11,IF(A11='Données projet'!$A$114,'Données projet'!$B$114,BY10+BX11-CG10)))</f>
        <v>6.0759830958211616</v>
      </c>
      <c r="BZ11" s="13">
        <f>BY11*VLOOKUP('Données projet'!$B$12,Paramètres!$A$1:$I$89,3,0)*VLOOKUP('Données projet'!$B$12,Paramètres!$A$1:$I$89,5,0)</f>
        <v>3.633437891301055</v>
      </c>
      <c r="CA11" s="13">
        <f t="shared" si="39"/>
        <v>1.4409496993838373</v>
      </c>
      <c r="CB11" s="20">
        <f t="shared" si="10"/>
        <v>8.8378917204428529</v>
      </c>
      <c r="CC11" s="59">
        <f t="shared" si="11"/>
        <v>302.17122505377614</v>
      </c>
      <c r="CD11" s="59">
        <f ca="1">AVERAGE(OFFSET($CC$3,0,0,'Données projet'!$E$12+1,1))-AVERAGE(OFFSET($H$3,0,0,'Données projet'!$E$12+1,1))</f>
        <v>247.30892363953825</v>
      </c>
      <c r="CE11" s="59">
        <f t="shared" si="40"/>
        <v>248.38414731596578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</v>
      </c>
      <c r="N12" s="13">
        <f>IF('Données projet'!$A$36&gt;35,N11+M12-V11,IF(A12&lt;'Données projet'!$A$36,$K$205^A12,IF(A12='Données projet'!$A$36,'Données projet'!$B$36,N11+M12-V11)))</f>
        <v>14.696938456699069</v>
      </c>
      <c r="O12" s="13">
        <f>N12*VLOOKUP('Données projet'!$B$9,Paramètres!$A$1:$I$89,3,0)*VLOOKUP('Données projet'!$B$9,Paramètres!$A$1:$I$89,5,0)</f>
        <v>8.7887691971060438</v>
      </c>
      <c r="P12" s="13">
        <f t="shared" si="33"/>
        <v>3.1449004184369191</v>
      </c>
      <c r="Q12" s="20">
        <f t="shared" si="2"/>
        <v>20.784474580403991</v>
      </c>
      <c r="R12" s="59">
        <f t="shared" si="0"/>
        <v>314.11780791373729</v>
      </c>
      <c r="S12" s="59">
        <f ca="1">AVERAGE(OFFSET($R$3,0,0,'Données projet'!$E$9+1,1))-AVERAGE(OFFSET($H$3,0,0,'Données projet'!$E$9+1,1))</f>
        <v>191.77102466144095</v>
      </c>
      <c r="T12" s="59">
        <f t="shared" si="34"/>
        <v>205.57161411620217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4.55</v>
      </c>
      <c r="AI12" s="13">
        <f>IF('Données projet'!$A$62&gt;35,AI11+AH12-AQ11,IF(A12&lt;'Données projet'!$A$62,$AF$205^A12,IF(A12='Données projet'!$A$62,'Données projet'!$B$62,AI11+AH12-AQ11)))</f>
        <v>7.6132243249824851</v>
      </c>
      <c r="AJ12" s="13">
        <f>AI12*VLOOKUP('Données projet'!$B$10,Paramètres!$A$1:$I$89,3,0)*VLOOKUP('Données projet'!$B$10,Paramètres!$A$1:$I$89,5,0)</f>
        <v>4.5527081463395263</v>
      </c>
      <c r="AK12" s="13">
        <f t="shared" si="35"/>
        <v>1.758730395704539</v>
      </c>
      <c r="AL12" s="20">
        <f t="shared" si="4"/>
        <v>10.992422127393413</v>
      </c>
      <c r="AM12" s="59">
        <f t="shared" si="5"/>
        <v>304.32575546072673</v>
      </c>
      <c r="AN12" s="59">
        <f ca="1">AVERAGE(OFFSET($AM$3,0,0,'Données projet'!$E$10+1,1))-AVERAGE(OFFSET($H$3,0,0,'Données projet'!$E$10+1,1))</f>
        <v>247.30892363953825</v>
      </c>
      <c r="AO12" s="59">
        <f t="shared" si="36"/>
        <v>248.38414731596578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5.15</v>
      </c>
      <c r="BD12" s="12">
        <f>IF('Données projet'!$A$88&gt;35,BD11+BC12-BL11,IF(A12&lt;'Données projet'!$A$88,$BA$205^A12,IF(A12='Données projet'!$A$88,'Données projet'!$B$88,BD11+BC12-BL11)))</f>
        <v>8.0496454316554029</v>
      </c>
      <c r="BE12" s="13">
        <f>BD12*VLOOKUP('Données projet'!$B$11,Paramètres!$A$1:$I$89,3,0)*VLOOKUP('Données projet'!$B$11,Paramètres!$A$1:$I$89,5,0)</f>
        <v>3.2440071089571276</v>
      </c>
      <c r="BF12" s="13">
        <f t="shared" si="37"/>
        <v>1.3035987667246822</v>
      </c>
      <c r="BG12" s="20">
        <f t="shared" si="7"/>
        <v>7.9204135668124849</v>
      </c>
      <c r="BH12" s="59">
        <f t="shared" si="8"/>
        <v>301.25374690014581</v>
      </c>
      <c r="BI12" s="59">
        <f ca="1">AVERAGE(OFFSET($BH$3,0,0,'Données projet'!$E$11+1,1))-AVERAGE(OFFSET($H$3,0,0,'Données projet'!$E$11+1,1))</f>
        <v>265.97106059040101</v>
      </c>
      <c r="BJ12" s="59">
        <f t="shared" si="38"/>
        <v>240.18718869578237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4.55</v>
      </c>
      <c r="BY12" s="12">
        <f>IF('Données projet'!$A$114&gt;35,BY11+BX12-CG11,IF(A12&lt;'Données projet'!$A$114,$BV$205^A12,IF(A12='Données projet'!$A$114,'Données projet'!$B$114,BY11+BX12-CG11)))</f>
        <v>7.6132243249824851</v>
      </c>
      <c r="BZ12" s="13">
        <f>BY12*VLOOKUP('Données projet'!$B$12,Paramètres!$A$1:$I$89,3,0)*VLOOKUP('Données projet'!$B$12,Paramètres!$A$1:$I$89,5,0)</f>
        <v>4.5527081463395263</v>
      </c>
      <c r="CA12" s="13">
        <f t="shared" si="39"/>
        <v>1.758730395704539</v>
      </c>
      <c r="CB12" s="20">
        <f t="shared" si="10"/>
        <v>10.992422127393413</v>
      </c>
      <c r="CC12" s="59">
        <f t="shared" si="11"/>
        <v>304.32575546072673</v>
      </c>
      <c r="CD12" s="59">
        <f ca="1">AVERAGE(OFFSET($CC$3,0,0,'Données projet'!$E$12+1,1))-AVERAGE(OFFSET($H$3,0,0,'Données projet'!$E$12+1,1))</f>
        <v>247.30892363953825</v>
      </c>
      <c r="CE12" s="59">
        <f t="shared" si="40"/>
        <v>248.38414731596578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</v>
      </c>
      <c r="N13" s="13">
        <f>IF('Données projet'!$A$36&gt;35,N12+M13-V12,IF(A13&lt;'Données projet'!$A$36,$K$205^A13,IF(A13='Données projet'!$A$36,'Données projet'!$B$36,N12+M13-V12)))</f>
        <v>19.81156349336776</v>
      </c>
      <c r="O13" s="13">
        <f>N13*VLOOKUP('Données projet'!$B$9,Paramètres!$A$1:$I$89,3,0)*VLOOKUP('Données projet'!$B$9,Paramètres!$A$1:$I$89,5,0)</f>
        <v>11.847314969033921</v>
      </c>
      <c r="P13" s="13">
        <f t="shared" si="33"/>
        <v>4.094516627677768</v>
      </c>
      <c r="Q13" s="20">
        <f t="shared" si="2"/>
        <v>27.76535669760619</v>
      </c>
      <c r="R13" s="59">
        <f t="shared" si="0"/>
        <v>321.09869003093951</v>
      </c>
      <c r="S13" s="59">
        <f ca="1">AVERAGE(OFFSET($R$3,0,0,'Données projet'!$E$9+1,1))-AVERAGE(OFFSET($H$3,0,0,'Données projet'!$E$9+1,1))</f>
        <v>191.77102466144095</v>
      </c>
      <c r="T13" s="59">
        <f t="shared" si="34"/>
        <v>205.57161411620217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4.55</v>
      </c>
      <c r="AI13" s="13">
        <f>IF('Données projet'!$A$62&gt;35,AI12+AH13-AQ12,IF(A13&lt;'Données projet'!$A$62,$AF$205^A13,IF(A13='Données projet'!$A$62,'Données projet'!$B$62,AI12+AH13-AQ12)))</f>
        <v>9.5393920141694579</v>
      </c>
      <c r="AJ13" s="13">
        <f>AI13*VLOOKUP('Données projet'!$B$10,Paramètres!$A$1:$I$89,3,0)*VLOOKUP('Données projet'!$B$10,Paramètres!$A$1:$I$89,5,0)</f>
        <v>5.7045564244733367</v>
      </c>
      <c r="AK13" s="13">
        <f t="shared" si="35"/>
        <v>2.1465930463066791</v>
      </c>
      <c r="AL13" s="20">
        <f t="shared" si="4"/>
        <v>13.674085328275192</v>
      </c>
      <c r="AM13" s="59">
        <f t="shared" si="5"/>
        <v>307.00741866160848</v>
      </c>
      <c r="AN13" s="59">
        <f ca="1">AVERAGE(OFFSET($AM$3,0,0,'Données projet'!$E$10+1,1))-AVERAGE(OFFSET($H$3,0,0,'Données projet'!$E$10+1,1))</f>
        <v>247.30892363953825</v>
      </c>
      <c r="AO13" s="59">
        <f t="shared" si="36"/>
        <v>248.38414731596578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5.15</v>
      </c>
      <c r="BD13" s="12">
        <f>IF('Données projet'!$A$88&gt;35,BD12+BC13-BL12,IF(A13&lt;'Données projet'!$A$88,$BA$205^A13,IF(A13='Données projet'!$A$88,'Données projet'!$B$88,BD12+BC13-BL12)))</f>
        <v>10.148891565092223</v>
      </c>
      <c r="BE13" s="13">
        <f>BD13*VLOOKUP('Données projet'!$B$11,Paramètres!$A$1:$I$89,3,0)*VLOOKUP('Données projet'!$B$11,Paramètres!$A$1:$I$89,5,0)</f>
        <v>4.0900033007321657</v>
      </c>
      <c r="BF13" s="13">
        <f t="shared" si="37"/>
        <v>1.5998198811496811</v>
      </c>
      <c r="BG13" s="20">
        <f t="shared" si="7"/>
        <v>9.9097753751108826</v>
      </c>
      <c r="BH13" s="59">
        <f t="shared" si="8"/>
        <v>303.2431087084442</v>
      </c>
      <c r="BI13" s="59">
        <f ca="1">AVERAGE(OFFSET($BH$3,0,0,'Données projet'!$E$11+1,1))-AVERAGE(OFFSET($H$3,0,0,'Données projet'!$E$11+1,1))</f>
        <v>265.97106059040101</v>
      </c>
      <c r="BJ13" s="59">
        <f t="shared" si="38"/>
        <v>240.18718869578237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4.55</v>
      </c>
      <c r="BY13" s="12">
        <f>IF('Données projet'!$A$114&gt;35,BY12+BX13-CG12,IF(A13&lt;'Données projet'!$A$114,$BV$205^A13,IF(A13='Données projet'!$A$114,'Données projet'!$B$114,BY12+BX13-CG12)))</f>
        <v>9.5393920141694579</v>
      </c>
      <c r="BZ13" s="13">
        <f>BY13*VLOOKUP('Données projet'!$B$12,Paramètres!$A$1:$I$89,3,0)*VLOOKUP('Données projet'!$B$12,Paramètres!$A$1:$I$89,5,0)</f>
        <v>5.7045564244733367</v>
      </c>
      <c r="CA13" s="13">
        <f t="shared" si="39"/>
        <v>2.1465930463066791</v>
      </c>
      <c r="CB13" s="20">
        <f t="shared" si="10"/>
        <v>13.674085328275192</v>
      </c>
      <c r="CC13" s="59">
        <f t="shared" si="11"/>
        <v>307.00741866160848</v>
      </c>
      <c r="CD13" s="59">
        <f ca="1">AVERAGE(OFFSET($CC$3,0,0,'Données projet'!$E$12+1,1))-AVERAGE(OFFSET($H$3,0,0,'Données projet'!$E$12+1,1))</f>
        <v>247.30892363953825</v>
      </c>
      <c r="CE13" s="59">
        <f t="shared" si="40"/>
        <v>248.38414731596578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</v>
      </c>
      <c r="N14" s="13">
        <f>IF('Données projet'!$A$36&gt;35,N13+M14-V13,IF(A14&lt;'Données projet'!$A$36,$K$205^A14,IF(A14='Données projet'!$A$36,'Données projet'!$B$36,N13+M14-V13)))</f>
        <v>26.706109521254486</v>
      </c>
      <c r="O14" s="13">
        <f>N14*VLOOKUP('Données projet'!$B$9,Paramètres!$A$1:$I$89,3,0)*VLOOKUP('Données projet'!$B$9,Paramètres!$A$1:$I$89,5,0)</f>
        <v>15.970253493710185</v>
      </c>
      <c r="P14" s="13">
        <f t="shared" si="33"/>
        <v>5.3308735361046251</v>
      </c>
      <c r="Q14" s="20">
        <f t="shared" si="2"/>
        <v>37.09946291026079</v>
      </c>
      <c r="R14" s="59">
        <f t="shared" si="0"/>
        <v>330.43279624359411</v>
      </c>
      <c r="S14" s="59">
        <f ca="1">AVERAGE(OFFSET($R$3,0,0,'Données projet'!$E$9+1,1))-AVERAGE(OFFSET($H$3,0,0,'Données projet'!$E$9+1,1))</f>
        <v>191.77102466144095</v>
      </c>
      <c r="T14" s="59">
        <f t="shared" si="34"/>
        <v>205.57161411620217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4.55</v>
      </c>
      <c r="AI14" s="13">
        <f>IF('Données projet'!$A$62&gt;35,AI13+AH14-AQ13,IF(A14&lt;'Données projet'!$A$62,$AF$205^A14,IF(A14='Données projet'!$A$62,'Données projet'!$B$62,AI13+AH14-AQ13)))</f>
        <v>11.952885678330434</v>
      </c>
      <c r="AJ14" s="13">
        <f>AI14*VLOOKUP('Données projet'!$B$10,Paramètres!$A$1:$I$89,3,0)*VLOOKUP('Données projet'!$B$10,Paramètres!$A$1:$I$89,5,0)</f>
        <v>7.147825635641599</v>
      </c>
      <c r="AK14" s="13">
        <f t="shared" si="35"/>
        <v>2.6199932165306663</v>
      </c>
      <c r="AL14" s="20">
        <f t="shared" si="4"/>
        <v>17.012284500866695</v>
      </c>
      <c r="AM14" s="59">
        <f t="shared" si="5"/>
        <v>310.34561783420003</v>
      </c>
      <c r="AN14" s="59">
        <f ca="1">AVERAGE(OFFSET($AM$3,0,0,'Données projet'!$E$10+1,1))-AVERAGE(OFFSET($H$3,0,0,'Données projet'!$E$10+1,1))</f>
        <v>247.30892363953825</v>
      </c>
      <c r="AO14" s="59">
        <f t="shared" si="36"/>
        <v>248.38414731596578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5.15</v>
      </c>
      <c r="BD14" s="12">
        <f>IF('Données projet'!$A$88&gt;35,BD13+BC14-BL13,IF(A14&lt;'Données projet'!$A$88,$BA$205^A14,IF(A14='Données projet'!$A$88,'Données projet'!$B$88,BD13+BC14-BL13)))</f>
        <v>12.795594647554333</v>
      </c>
      <c r="BE14" s="13">
        <f>BD14*VLOOKUP('Données projet'!$B$11,Paramètres!$A$1:$I$89,3,0)*VLOOKUP('Données projet'!$B$11,Paramètres!$A$1:$I$89,5,0)</f>
        <v>5.1566246429643963</v>
      </c>
      <c r="BF14" s="13">
        <f t="shared" si="37"/>
        <v>1.96335231165674</v>
      </c>
      <c r="BG14" s="20">
        <f t="shared" si="7"/>
        <v>12.400626529298478</v>
      </c>
      <c r="BH14" s="59">
        <f t="shared" si="8"/>
        <v>305.73395986263176</v>
      </c>
      <c r="BI14" s="59">
        <f ca="1">AVERAGE(OFFSET($BH$3,0,0,'Données projet'!$E$11+1,1))-AVERAGE(OFFSET($H$3,0,0,'Données projet'!$E$11+1,1))</f>
        <v>265.97106059040101</v>
      </c>
      <c r="BJ14" s="59">
        <f t="shared" si="38"/>
        <v>240.18718869578237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4.55</v>
      </c>
      <c r="BY14" s="12">
        <f>IF('Données projet'!$A$114&gt;35,BY13+BX14-CG13,IF(A14&lt;'Données projet'!$A$114,$BV$205^A14,IF(A14='Données projet'!$A$114,'Données projet'!$B$114,BY13+BX14-CG13)))</f>
        <v>11.952885678330434</v>
      </c>
      <c r="BZ14" s="13">
        <f>BY14*VLOOKUP('Données projet'!$B$12,Paramètres!$A$1:$I$89,3,0)*VLOOKUP('Données projet'!$B$12,Paramètres!$A$1:$I$89,5,0)</f>
        <v>7.147825635641599</v>
      </c>
      <c r="CA14" s="13">
        <f t="shared" si="39"/>
        <v>2.6199932165306663</v>
      </c>
      <c r="CB14" s="20">
        <f t="shared" si="10"/>
        <v>17.012284500866695</v>
      </c>
      <c r="CC14" s="59">
        <f t="shared" si="11"/>
        <v>310.34561783420003</v>
      </c>
      <c r="CD14" s="59">
        <f ca="1">AVERAGE(OFFSET($CC$3,0,0,'Données projet'!$E$12+1,1))-AVERAGE(OFFSET($H$3,0,0,'Données projet'!$E$12+1,1))</f>
        <v>247.30892363953825</v>
      </c>
      <c r="CE14" s="59">
        <f t="shared" si="40"/>
        <v>248.38414731596578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36</v>
      </c>
      <c r="L15" s="12">
        <f>VLOOKUP(A15,'Données projet'!$A$35:$I$55,9,0)</f>
        <v>3</v>
      </c>
      <c r="M15" s="12">
        <f t="array" ref="M15">INDEX(L:L,MIN(IF(ISNUMBER(L15:L211),ROW(L15:L211),"")))</f>
        <v>3</v>
      </c>
      <c r="N15" s="13">
        <f>IF('Données projet'!$A$36&gt;35,N14+M15-V14,IF(A15&lt;'Données projet'!$A$36,$K$205^A15,IF(A15='Données projet'!$A$36,'Données projet'!$B$36,N14+M15-V14)))</f>
        <v>36</v>
      </c>
      <c r="O15" s="13">
        <f>N15*VLOOKUP('Données projet'!$B$9,Paramètres!$A$1:$I$89,3,0)*VLOOKUP('Données projet'!$B$9,Paramètres!$A$1:$I$89,5,0)</f>
        <v>21.528000000000002</v>
      </c>
      <c r="P15" s="13">
        <f t="shared" si="33"/>
        <v>6.9405537312613621</v>
      </c>
      <c r="Q15" s="20">
        <f t="shared" si="2"/>
        <v>49.582731081946882</v>
      </c>
      <c r="R15" s="59">
        <f t="shared" si="0"/>
        <v>342.91606441528018</v>
      </c>
      <c r="S15" s="59">
        <f ca="1">AVERAGE(OFFSET($R$3,0,0,'Données projet'!$E$9+1,1))-AVERAGE(OFFSET($H$3,0,0,'Données projet'!$E$9+1,1))</f>
        <v>191.77102466144095</v>
      </c>
      <c r="T15" s="59">
        <f t="shared" si="34"/>
        <v>205.57161411620217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4.55</v>
      </c>
      <c r="AI15" s="13">
        <f>IF('Données projet'!$A$62&gt;35,AI14+AH15-AQ14,IF(A15&lt;'Données projet'!$A$62,$AF$205^A15,IF(A15='Données projet'!$A$62,'Données projet'!$B$62,AI14+AH15-AQ14)))</f>
        <v>14.97700019320108</v>
      </c>
      <c r="AJ15" s="13">
        <f>AI15*VLOOKUP('Données projet'!$B$10,Paramètres!$A$1:$I$89,3,0)*VLOOKUP('Données projet'!$B$10,Paramètres!$A$1:$I$89,5,0)</f>
        <v>8.9562461155342472</v>
      </c>
      <c r="AK15" s="13">
        <f t="shared" si="35"/>
        <v>3.1977949739831653</v>
      </c>
      <c r="AL15" s="20">
        <f t="shared" si="4"/>
        <v>21.168288230909493</v>
      </c>
      <c r="AM15" s="59">
        <f t="shared" si="5"/>
        <v>314.50162156424278</v>
      </c>
      <c r="AN15" s="59">
        <f ca="1">AVERAGE(OFFSET($AM$3,0,0,'Données projet'!$E$10+1,1))-AVERAGE(OFFSET($H$3,0,0,'Données projet'!$E$10+1,1))</f>
        <v>247.30892363953825</v>
      </c>
      <c r="AO15" s="59">
        <f t="shared" si="36"/>
        <v>248.38414731596578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5.15</v>
      </c>
      <c r="BD15" s="12">
        <f>IF('Données projet'!$A$88&gt;35,BD14+BC15-BL14,IF(A15&lt;'Données projet'!$A$88,$BA$205^A15,IF(A15='Données projet'!$A$88,'Données projet'!$B$88,BD14+BC15-BL14)))</f>
        <v>16.132524555457039</v>
      </c>
      <c r="BE15" s="13">
        <f>BD15*VLOOKUP('Données projet'!$B$11,Paramètres!$A$1:$I$89,3,0)*VLOOKUP('Données projet'!$B$11,Paramètres!$A$1:$I$89,5,0)</f>
        <v>6.5014073958491867</v>
      </c>
      <c r="BF15" s="13">
        <f t="shared" si="37"/>
        <v>2.4094914340717639</v>
      </c>
      <c r="BG15" s="20">
        <f t="shared" si="7"/>
        <v>15.519815462112325</v>
      </c>
      <c r="BH15" s="59">
        <f t="shared" si="8"/>
        <v>308.85314879544563</v>
      </c>
      <c r="BI15" s="59">
        <f ca="1">AVERAGE(OFFSET($BH$3,0,0,'Données projet'!$E$11+1,1))-AVERAGE(OFFSET($H$3,0,0,'Données projet'!$E$11+1,1))</f>
        <v>265.97106059040101</v>
      </c>
      <c r="BJ15" s="59">
        <f t="shared" si="38"/>
        <v>240.18718869578237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4.55</v>
      </c>
      <c r="BY15" s="12">
        <f>IF('Données projet'!$A$114&gt;35,BY14+BX15-CG14,IF(A15&lt;'Données projet'!$A$114,$BV$205^A15,IF(A15='Données projet'!$A$114,'Données projet'!$B$114,BY14+BX15-CG14)))</f>
        <v>14.97700019320108</v>
      </c>
      <c r="BZ15" s="13">
        <f>BY15*VLOOKUP('Données projet'!$B$12,Paramètres!$A$1:$I$89,3,0)*VLOOKUP('Données projet'!$B$12,Paramètres!$A$1:$I$89,5,0)</f>
        <v>8.9562461155342472</v>
      </c>
      <c r="CA15" s="13">
        <f t="shared" si="39"/>
        <v>3.1977949739831653</v>
      </c>
      <c r="CB15" s="20">
        <f t="shared" si="10"/>
        <v>21.168288230909493</v>
      </c>
      <c r="CC15" s="59">
        <f t="shared" si="11"/>
        <v>314.50162156424278</v>
      </c>
      <c r="CD15" s="59">
        <f ca="1">AVERAGE(OFFSET($CC$3,0,0,'Données projet'!$E$12+1,1))-AVERAGE(OFFSET($H$3,0,0,'Données projet'!$E$12+1,1))</f>
        <v>247.30892363953825</v>
      </c>
      <c r="CE15" s="59">
        <f t="shared" si="40"/>
        <v>248.38414731596578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11.25</v>
      </c>
      <c r="N16" s="13">
        <f>IF('Données projet'!$A$36&gt;35,N15+M16-V15,IF(A16&lt;'Données projet'!$A$36,$K$205^A16,IF(A16='Données projet'!$A$36,'Données projet'!$B$36,N15+M16-V15)))</f>
        <v>47.25</v>
      </c>
      <c r="O16" s="13">
        <f>N16*VLOOKUP('Données projet'!$B$9,Paramètres!$A$1:$I$89,3,0)*VLOOKUP('Données projet'!$B$9,Paramètres!$A$1:$I$89,5,0)</f>
        <v>28.255500000000001</v>
      </c>
      <c r="P16" s="13">
        <f t="shared" si="33"/>
        <v>8.8256494369710552</v>
      </c>
      <c r="Q16" s="20">
        <f t="shared" si="2"/>
        <v>64.583001936057926</v>
      </c>
      <c r="R16" s="59">
        <f t="shared" si="0"/>
        <v>357.91633526939125</v>
      </c>
      <c r="S16" s="59">
        <f ca="1">AVERAGE(OFFSET($R$3,0,0,'Données projet'!$E$9+1,1))-AVERAGE(OFFSET($H$3,0,0,'Données projet'!$E$9+1,1))</f>
        <v>191.77102466144095</v>
      </c>
      <c r="T16" s="59">
        <f t="shared" si="34"/>
        <v>205.57161411620217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4.55</v>
      </c>
      <c r="AI16" s="13">
        <f>IF('Données projet'!$A$62&gt;35,AI15+AH16-AQ15,IF(A16&lt;'Données projet'!$A$62,$AF$205^A16,IF(A16='Données projet'!$A$62,'Données projet'!$B$62,AI15+AH16-AQ15)))</f>
        <v>18.766224393311244</v>
      </c>
      <c r="AJ16" s="13">
        <f>AI16*VLOOKUP('Données projet'!$B$10,Paramètres!$A$1:$I$89,3,0)*VLOOKUP('Données projet'!$B$10,Paramètres!$A$1:$I$89,5,0)</f>
        <v>11.222202187200125</v>
      </c>
      <c r="AK16" s="13">
        <f t="shared" si="35"/>
        <v>3.903022584605345</v>
      </c>
      <c r="AL16" s="20">
        <f t="shared" si="4"/>
        <v>26.343099810894525</v>
      </c>
      <c r="AM16" s="59">
        <f t="shared" si="5"/>
        <v>319.67643314422781</v>
      </c>
      <c r="AN16" s="59">
        <f ca="1">AVERAGE(OFFSET($AM$3,0,0,'Données projet'!$E$10+1,1))-AVERAGE(OFFSET($H$3,0,0,'Données projet'!$E$10+1,1))</f>
        <v>247.30892363953825</v>
      </c>
      <c r="AO16" s="59">
        <f t="shared" si="36"/>
        <v>248.38414731596578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5.15</v>
      </c>
      <c r="BD16" s="12">
        <f>IF('Données projet'!$A$88&gt;35,BD15+BC16-BL15,IF(A16&lt;'Données projet'!$A$88,$BA$205^A16,IF(A16='Données projet'!$A$88,'Données projet'!$B$88,BD15+BC16-BL15)))</f>
        <v>20.339683750623376</v>
      </c>
      <c r="BE16" s="13">
        <f>BD16*VLOOKUP('Données projet'!$B$11,Paramètres!$A$1:$I$89,3,0)*VLOOKUP('Données projet'!$B$11,Paramètres!$A$1:$I$89,5,0)</f>
        <v>8.1968925515012199</v>
      </c>
      <c r="BF16" s="13">
        <f t="shared" si="37"/>
        <v>2.9570082437044696</v>
      </c>
      <c r="BG16" s="20">
        <f t="shared" si="7"/>
        <v>19.426377218316578</v>
      </c>
      <c r="BH16" s="59">
        <f t="shared" si="8"/>
        <v>312.7597105516499</v>
      </c>
      <c r="BI16" s="59">
        <f ca="1">AVERAGE(OFFSET($BH$3,0,0,'Données projet'!$E$11+1,1))-AVERAGE(OFFSET($H$3,0,0,'Données projet'!$E$11+1,1))</f>
        <v>265.97106059040101</v>
      </c>
      <c r="BJ16" s="59">
        <f t="shared" si="38"/>
        <v>240.18718869578237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4.55</v>
      </c>
      <c r="BY16" s="12">
        <f>IF('Données projet'!$A$114&gt;35,BY15+BX16-CG15,IF(A16&lt;'Données projet'!$A$114,$BV$205^A16,IF(A16='Données projet'!$A$114,'Données projet'!$B$114,BY15+BX16-CG15)))</f>
        <v>18.766224393311244</v>
      </c>
      <c r="BZ16" s="13">
        <f>BY16*VLOOKUP('Données projet'!$B$12,Paramètres!$A$1:$I$89,3,0)*VLOOKUP('Données projet'!$B$12,Paramètres!$A$1:$I$89,5,0)</f>
        <v>11.222202187200125</v>
      </c>
      <c r="CA16" s="13">
        <f t="shared" si="39"/>
        <v>3.903022584605345</v>
      </c>
      <c r="CB16" s="20">
        <f t="shared" si="10"/>
        <v>26.343099810894525</v>
      </c>
      <c r="CC16" s="59">
        <f t="shared" si="11"/>
        <v>319.67643314422781</v>
      </c>
      <c r="CD16" s="59">
        <f ca="1">AVERAGE(OFFSET($CC$3,0,0,'Données projet'!$E$12+1,1))-AVERAGE(OFFSET($H$3,0,0,'Données projet'!$E$12+1,1))</f>
        <v>247.30892363953825</v>
      </c>
      <c r="CE16" s="59">
        <f t="shared" si="40"/>
        <v>248.38414731596578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11.25</v>
      </c>
      <c r="N17" s="13">
        <f>IF('Données projet'!$A$36&gt;35,N16+M17-V16,IF(A17&lt;'Données projet'!$A$36,$K$205^A17,IF(A17='Données projet'!$A$36,'Données projet'!$B$36,N16+M17-V16)))</f>
        <v>58.5</v>
      </c>
      <c r="O17" s="13">
        <f>N17*VLOOKUP('Données projet'!$B$9,Paramètres!$A$1:$I$89,3,0)*VLOOKUP('Données projet'!$B$9,Paramètres!$A$1:$I$89,5,0)</f>
        <v>34.983000000000004</v>
      </c>
      <c r="P17" s="13">
        <f t="shared" si="33"/>
        <v>10.658697928430266</v>
      </c>
      <c r="Q17" s="20">
        <f t="shared" si="2"/>
        <v>79.492623892016056</v>
      </c>
      <c r="R17" s="59">
        <f t="shared" si="0"/>
        <v>372.82595722534938</v>
      </c>
      <c r="S17" s="59">
        <f ca="1">AVERAGE(OFFSET($R$3,0,0,'Données projet'!$E$9+1,1))-AVERAGE(OFFSET($H$3,0,0,'Données projet'!$E$9+1,1))</f>
        <v>191.77102466144095</v>
      </c>
      <c r="T17" s="59">
        <f t="shared" si="34"/>
        <v>205.57161411620217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4.55</v>
      </c>
      <c r="AI17" s="13">
        <f>IF('Données projet'!$A$62&gt;35,AI16+AH17-AQ16,IF(A17&lt;'Données projet'!$A$62,$AF$205^A17,IF(A17='Données projet'!$A$62,'Données projet'!$B$62,AI16+AH17-AQ16)))</f>
        <v>23.514133233434862</v>
      </c>
      <c r="AJ17" s="13">
        <f>AI17*VLOOKUP('Données projet'!$B$10,Paramètres!$A$1:$I$89,3,0)*VLOOKUP('Données projet'!$B$10,Paramètres!$A$1:$I$89,5,0)</f>
        <v>14.061451673594048</v>
      </c>
      <c r="AK17" s="13">
        <f t="shared" si="35"/>
        <v>4.7637779844792423</v>
      </c>
      <c r="AL17" s="20">
        <f t="shared" si="4"/>
        <v>32.787274987810981</v>
      </c>
      <c r="AM17" s="59">
        <f t="shared" si="5"/>
        <v>326.12060832114429</v>
      </c>
      <c r="AN17" s="59">
        <f ca="1">AVERAGE(OFFSET($AM$3,0,0,'Données projet'!$E$10+1,1))-AVERAGE(OFFSET($H$3,0,0,'Données projet'!$E$10+1,1))</f>
        <v>247.30892363953825</v>
      </c>
      <c r="AO17" s="59">
        <f t="shared" si="36"/>
        <v>248.38414731596578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5.15</v>
      </c>
      <c r="BD17" s="12">
        <f>IF('Données projet'!$A$88&gt;35,BD16+BC17-BL16,IF(A17&lt;'Données projet'!$A$88,$BA$205^A17,IF(A17='Données projet'!$A$88,'Données projet'!$B$88,BD16+BC17-BL16)))</f>
        <v>25.644017069568459</v>
      </c>
      <c r="BE17" s="13">
        <f>BD17*VLOOKUP('Données projet'!$B$11,Paramètres!$A$1:$I$89,3,0)*VLOOKUP('Données projet'!$B$11,Paramètres!$A$1:$I$89,5,0)</f>
        <v>10.334538879036089</v>
      </c>
      <c r="BF17" s="13">
        <f t="shared" si="37"/>
        <v>3.6289391320059621</v>
      </c>
      <c r="BG17" s="20">
        <f t="shared" si="7"/>
        <v>24.319724202564903</v>
      </c>
      <c r="BH17" s="59">
        <f t="shared" si="8"/>
        <v>317.6530575358982</v>
      </c>
      <c r="BI17" s="59">
        <f ca="1">AVERAGE(OFFSET($BH$3,0,0,'Données projet'!$E$11+1,1))-AVERAGE(OFFSET($H$3,0,0,'Données projet'!$E$11+1,1))</f>
        <v>265.97106059040101</v>
      </c>
      <c r="BJ17" s="59">
        <f t="shared" si="38"/>
        <v>240.18718869578237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4.55</v>
      </c>
      <c r="BY17" s="12">
        <f>IF('Données projet'!$A$114&gt;35,BY16+BX17-CG16,IF(A17&lt;'Données projet'!$A$114,$BV$205^A17,IF(A17='Données projet'!$A$114,'Données projet'!$B$114,BY16+BX17-CG16)))</f>
        <v>23.514133233434862</v>
      </c>
      <c r="BZ17" s="13">
        <f>BY17*VLOOKUP('Données projet'!$B$12,Paramètres!$A$1:$I$89,3,0)*VLOOKUP('Données projet'!$B$12,Paramètres!$A$1:$I$89,5,0)</f>
        <v>14.061451673594048</v>
      </c>
      <c r="CA17" s="13">
        <f t="shared" si="39"/>
        <v>4.7637779844792423</v>
      </c>
      <c r="CB17" s="20">
        <f t="shared" si="10"/>
        <v>32.787274987810981</v>
      </c>
      <c r="CC17" s="59">
        <f t="shared" si="11"/>
        <v>326.12060832114429</v>
      </c>
      <c r="CD17" s="59">
        <f ca="1">AVERAGE(OFFSET($CC$3,0,0,'Données projet'!$E$12+1,1))-AVERAGE(OFFSET($H$3,0,0,'Données projet'!$E$12+1,1))</f>
        <v>247.30892363953825</v>
      </c>
      <c r="CE17" s="59">
        <f t="shared" si="40"/>
        <v>248.38414731596578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11.25</v>
      </c>
      <c r="N18" s="13">
        <f>IF('Données projet'!$A$36&gt;35,N17+M18-V17,IF(A18&lt;'Données projet'!$A$36,$K$205^A18,IF(A18='Données projet'!$A$36,'Données projet'!$B$36,N17+M18-V17)))</f>
        <v>69.75</v>
      </c>
      <c r="O18" s="13">
        <f>N18*VLOOKUP('Données projet'!$B$9,Paramètres!$A$1:$I$89,3,0)*VLOOKUP('Données projet'!$B$9,Paramètres!$A$1:$I$89,5,0)</f>
        <v>41.710500000000003</v>
      </c>
      <c r="P18" s="13">
        <f t="shared" si="33"/>
        <v>12.450904347349248</v>
      </c>
      <c r="Q18" s="20">
        <f t="shared" si="2"/>
        <v>94.331112571633255</v>
      </c>
      <c r="R18" s="59">
        <f t="shared" si="0"/>
        <v>387.66444590496656</v>
      </c>
      <c r="S18" s="59">
        <f ca="1">AVERAGE(OFFSET($R$3,0,0,'Données projet'!$E$9+1,1))-AVERAGE(OFFSET($H$3,0,0,'Données projet'!$E$9+1,1))</f>
        <v>191.77102466144095</v>
      </c>
      <c r="T18" s="59">
        <f t="shared" si="34"/>
        <v>205.57161411620217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4.55</v>
      </c>
      <c r="AI18" s="13">
        <f>IF('Données projet'!$A$62&gt;35,AI17+AH18-AQ17,IF(A18&lt;'Données projet'!$A$62,$AF$205^A18,IF(A18='Données projet'!$A$62,'Données projet'!$B$62,AI17+AH18-AQ17)))</f>
        <v>29.463276689625356</v>
      </c>
      <c r="AJ18" s="13">
        <f>AI18*VLOOKUP('Données projet'!$B$10,Paramètres!$A$1:$I$89,3,0)*VLOOKUP('Données projet'!$B$10,Paramètres!$A$1:$I$89,5,0)</f>
        <v>17.619039460395964</v>
      </c>
      <c r="AK18" s="13">
        <f t="shared" si="35"/>
        <v>5.8143605868229411</v>
      </c>
      <c r="AL18" s="20">
        <f t="shared" si="4"/>
        <v>40.81317174890625</v>
      </c>
      <c r="AM18" s="59">
        <f t="shared" si="5"/>
        <v>334.14650508223957</v>
      </c>
      <c r="AN18" s="59">
        <f ca="1">AVERAGE(OFFSET($AM$3,0,0,'Données projet'!$E$10+1,1))-AVERAGE(OFFSET($H$3,0,0,'Données projet'!$E$10+1,1))</f>
        <v>247.30892363953825</v>
      </c>
      <c r="AO18" s="59">
        <f t="shared" si="36"/>
        <v>248.38414731596578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5.15</v>
      </c>
      <c r="BD18" s="12">
        <f>IF('Données projet'!$A$88&gt;35,BD17+BC18-BL17,IF(A18&lt;'Données projet'!$A$88,$BA$205^A18,IF(A18='Données projet'!$A$88,'Données projet'!$B$88,BD17+BC18-BL17)))</f>
        <v>32.331653703522491</v>
      </c>
      <c r="BE18" s="13">
        <f>BD18*VLOOKUP('Données projet'!$B$11,Paramètres!$A$1:$I$89,3,0)*VLOOKUP('Données projet'!$B$11,Paramètres!$A$1:$I$89,5,0)</f>
        <v>13.029656442519565</v>
      </c>
      <c r="BF18" s="13">
        <f t="shared" si="37"/>
        <v>4.4535551268217421</v>
      </c>
      <c r="BG18" s="20">
        <f t="shared" si="7"/>
        <v>30.449926816602773</v>
      </c>
      <c r="BH18" s="59">
        <f t="shared" si="8"/>
        <v>323.7832601499361</v>
      </c>
      <c r="BI18" s="59">
        <f ca="1">AVERAGE(OFFSET($BH$3,0,0,'Données projet'!$E$11+1,1))-AVERAGE(OFFSET($H$3,0,0,'Données projet'!$E$11+1,1))</f>
        <v>265.97106059040101</v>
      </c>
      <c r="BJ18" s="59">
        <f t="shared" si="38"/>
        <v>240.18718869578237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4.55</v>
      </c>
      <c r="BY18" s="12">
        <f>IF('Données projet'!$A$114&gt;35,BY17+BX18-CG17,IF(A18&lt;'Données projet'!$A$114,$BV$205^A18,IF(A18='Données projet'!$A$114,'Données projet'!$B$114,BY17+BX18-CG17)))</f>
        <v>29.463276689625356</v>
      </c>
      <c r="BZ18" s="13">
        <f>BY18*VLOOKUP('Données projet'!$B$12,Paramètres!$A$1:$I$89,3,0)*VLOOKUP('Données projet'!$B$12,Paramètres!$A$1:$I$89,5,0)</f>
        <v>17.619039460395964</v>
      </c>
      <c r="CA18" s="13">
        <f t="shared" si="39"/>
        <v>5.8143605868229411</v>
      </c>
      <c r="CB18" s="20">
        <f t="shared" si="10"/>
        <v>40.81317174890625</v>
      </c>
      <c r="CC18" s="59">
        <f t="shared" si="11"/>
        <v>334.14650508223957</v>
      </c>
      <c r="CD18" s="59">
        <f ca="1">AVERAGE(OFFSET($CC$3,0,0,'Données projet'!$E$12+1,1))-AVERAGE(OFFSET($H$3,0,0,'Données projet'!$E$12+1,1))</f>
        <v>247.30892363953825</v>
      </c>
      <c r="CE18" s="59">
        <f t="shared" si="40"/>
        <v>248.38414731596578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81</v>
      </c>
      <c r="L19" s="12">
        <f>VLOOKUP(A19,'Données projet'!$A$35:$I$55,9,0)</f>
        <v>11.25</v>
      </c>
      <c r="M19" s="12">
        <f t="array" ref="M19">INDEX(L:L,MIN(IF(ISNUMBER(L19:L215),ROW(L19:L215),"")))</f>
        <v>11.25</v>
      </c>
      <c r="N19" s="13">
        <f>IF('Données projet'!$A$36&gt;35,N18+M19-V18,IF(A19&lt;'Données projet'!$A$36,$K$205^A19,IF(A19='Données projet'!$A$36,'Données projet'!$B$36,N18+M19-V18)))</f>
        <v>81</v>
      </c>
      <c r="O19" s="13">
        <f>N19*VLOOKUP('Données projet'!$B$9,Paramètres!$A$1:$I$89,3,0)*VLOOKUP('Données projet'!$B$9,Paramètres!$A$1:$I$89,5,0)</f>
        <v>48.438000000000009</v>
      </c>
      <c r="P19" s="13">
        <f t="shared" si="33"/>
        <v>14.209624244846971</v>
      </c>
      <c r="Q19" s="20">
        <f t="shared" si="2"/>
        <v>109.11127889310849</v>
      </c>
      <c r="R19" s="59">
        <f t="shared" si="0"/>
        <v>402.44461222644179</v>
      </c>
      <c r="S19" s="59">
        <f ca="1">AVERAGE(OFFSET($R$3,0,0,'Données projet'!$E$9+1,1))-AVERAGE(OFFSET($H$3,0,0,'Données projet'!$E$9+1,1))</f>
        <v>191.77102466144095</v>
      </c>
      <c r="T19" s="59">
        <f t="shared" si="34"/>
        <v>205.57161411620217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15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0.22500000000000001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2.6667970095349296</v>
      </c>
      <c r="AB19" s="21">
        <f>EXP(-LN(2)/2)*AB18+(1-EXP(-LN(2)/2))/(LN(2)/2)*V19*Y19*VLOOKUP('Données projet'!$B$9,Paramètres!$A$1:$I$89,3,0)*0.475*44/12</f>
        <v>5.0780618544061999</v>
      </c>
      <c r="AC19" s="22">
        <f t="shared" si="3"/>
        <v>7.7448588639411291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4.55</v>
      </c>
      <c r="AI19" s="13">
        <f>IF('Données projet'!$A$62&gt;35,AI18+AH19-AQ18,IF(A19&lt;'Données projet'!$A$62,$AF$205^A19,IF(A19='Données projet'!$A$62,'Données projet'!$B$62,AI18+AH19-AQ18)))</f>
        <v>36.917570580704506</v>
      </c>
      <c r="AJ19" s="13">
        <f>AI19*VLOOKUP('Données projet'!$B$10,Paramètres!$A$1:$I$89,3,0)*VLOOKUP('Données projet'!$B$10,Paramètres!$A$1:$I$89,5,0)</f>
        <v>22.076707207261297</v>
      </c>
      <c r="AK19" s="13">
        <f t="shared" si="35"/>
        <v>7.0966340462853541</v>
      </c>
      <c r="AL19" s="20">
        <f t="shared" si="4"/>
        <v>50.810236016593741</v>
      </c>
      <c r="AM19" s="59">
        <f t="shared" si="5"/>
        <v>344.14356934992708</v>
      </c>
      <c r="AN19" s="59">
        <f ca="1">AVERAGE(OFFSET($AM$3,0,0,'Données projet'!$E$10+1,1))-AVERAGE(OFFSET($H$3,0,0,'Données projet'!$E$10+1,1))</f>
        <v>247.30892363953825</v>
      </c>
      <c r="AO19" s="59">
        <f t="shared" si="36"/>
        <v>248.38414731596578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5.15</v>
      </c>
      <c r="BD19" s="12">
        <f>IF('Données projet'!$A$88&gt;35,BD18+BC19-BL18,IF(A19&lt;'Données projet'!$A$88,$BA$205^A19,IF(A19='Données projet'!$A$88,'Données projet'!$B$88,BD18+BC19-BL18)))</f>
        <v>40.763341732641052</v>
      </c>
      <c r="BE19" s="13">
        <f>BD19*VLOOKUP('Données projet'!$B$11,Paramètres!$A$1:$I$89,3,0)*VLOOKUP('Données projet'!$B$11,Paramètres!$A$1:$I$89,5,0)</f>
        <v>16.427626718254345</v>
      </c>
      <c r="BF19" s="13">
        <f t="shared" si="37"/>
        <v>5.4655513763540355</v>
      </c>
      <c r="BG19" s="20">
        <f t="shared" si="7"/>
        <v>38.130618514776266</v>
      </c>
      <c r="BH19" s="59">
        <f t="shared" si="8"/>
        <v>331.46395184810956</v>
      </c>
      <c r="BI19" s="59">
        <f ca="1">AVERAGE(OFFSET($BH$3,0,0,'Données projet'!$E$11+1,1))-AVERAGE(OFFSET($H$3,0,0,'Données projet'!$E$11+1,1))</f>
        <v>265.97106059040101</v>
      </c>
      <c r="BJ19" s="59">
        <f t="shared" si="38"/>
        <v>240.18718869578237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4.55</v>
      </c>
      <c r="BY19" s="12">
        <f>IF('Données projet'!$A$114&gt;35,BY18+BX19-CG18,IF(A19&lt;'Données projet'!$A$114,$BV$205^A19,IF(A19='Données projet'!$A$114,'Données projet'!$B$114,BY18+BX19-CG18)))</f>
        <v>36.917570580704506</v>
      </c>
      <c r="BZ19" s="13">
        <f>BY19*VLOOKUP('Données projet'!$B$12,Paramètres!$A$1:$I$89,3,0)*VLOOKUP('Données projet'!$B$12,Paramètres!$A$1:$I$89,5,0)</f>
        <v>22.076707207261297</v>
      </c>
      <c r="CA19" s="13">
        <f t="shared" si="39"/>
        <v>7.0966340462853541</v>
      </c>
      <c r="CB19" s="20">
        <f t="shared" si="10"/>
        <v>50.810236016593741</v>
      </c>
      <c r="CC19" s="59">
        <f t="shared" si="11"/>
        <v>344.14356934992708</v>
      </c>
      <c r="CD19" s="59">
        <f ca="1">AVERAGE(OFFSET($CC$3,0,0,'Données projet'!$E$12+1,1))-AVERAGE(OFFSET($H$3,0,0,'Données projet'!$E$12+1,1))</f>
        <v>247.30892363953825</v>
      </c>
      <c r="CE19" s="59">
        <f t="shared" si="40"/>
        <v>248.38414731596578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13.25</v>
      </c>
      <c r="N20" s="13">
        <f>IF('Données projet'!$A$36&gt;35,N19+M20-V19,IF(A20&lt;'Données projet'!$A$36,$K$205^A20,IF(A20='Données projet'!$A$36,'Données projet'!$B$36,N19+M20-V19)))</f>
        <v>79.25</v>
      </c>
      <c r="O20" s="13">
        <f>N20*VLOOKUP('Données projet'!$B$9,Paramètres!$A$1:$I$89,3,0)*VLOOKUP('Données projet'!$B$9,Paramètres!$A$1:$I$89,5,0)</f>
        <v>47.391500000000001</v>
      </c>
      <c r="P20" s="13">
        <f t="shared" si="33"/>
        <v>13.938016900926096</v>
      </c>
      <c r="Q20" s="20">
        <f t="shared" si="2"/>
        <v>106.81557526911295</v>
      </c>
      <c r="R20" s="59">
        <f t="shared" si="0"/>
        <v>400.14890860244628</v>
      </c>
      <c r="S20" s="59">
        <f ca="1">AVERAGE(OFFSET($R$3,0,0,'Données projet'!$E$9+1,1))-AVERAGE(OFFSET($H$3,0,0,'Données projet'!$E$9+1,1))</f>
        <v>191.77102466144095</v>
      </c>
      <c r="T20" s="59">
        <f t="shared" si="34"/>
        <v>205.57161411620217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2.5938733050684371</v>
      </c>
      <c r="AB20" s="21">
        <f>EXP(-LN(2)/2)*AB19+(1-EXP(-LN(2)/2))/(LN(2)/2)*V20*Y20*VLOOKUP('Données projet'!$B$9,Paramètres!$A$1:$I$89,3,0)*0.475*44/12</f>
        <v>3.5907319725353588</v>
      </c>
      <c r="AC20" s="22">
        <f t="shared" si="3"/>
        <v>6.1846052776037954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4.55</v>
      </c>
      <c r="AI20" s="13">
        <f>IF('Données projet'!$A$62&gt;35,AI19+AH20-AQ19,IF(A20&lt;'Données projet'!$A$62,$AF$205^A20,IF(A20='Données projet'!$A$62,'Données projet'!$B$62,AI19+AH20-AQ19)))</f>
        <v>46.257822303288052</v>
      </c>
      <c r="AJ20" s="13">
        <f>AI20*VLOOKUP('Données projet'!$B$10,Paramètres!$A$1:$I$89,3,0)*VLOOKUP('Données projet'!$B$10,Paramètres!$A$1:$I$89,5,0)</f>
        <v>27.66217773736626</v>
      </c>
      <c r="AK20" s="13">
        <f t="shared" si="35"/>
        <v>8.6616944434151719</v>
      </c>
      <c r="AL20" s="20">
        <f t="shared" si="4"/>
        <v>63.264077381527663</v>
      </c>
      <c r="AM20" s="59">
        <f t="shared" si="5"/>
        <v>356.59741071486098</v>
      </c>
      <c r="AN20" s="59">
        <f ca="1">AVERAGE(OFFSET($AM$3,0,0,'Données projet'!$E$10+1,1))-AVERAGE(OFFSET($H$3,0,0,'Données projet'!$E$10+1,1))</f>
        <v>247.30892363953825</v>
      </c>
      <c r="AO20" s="59">
        <f t="shared" si="36"/>
        <v>248.38414731596578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5.15</v>
      </c>
      <c r="BD20" s="12">
        <f>IF('Données projet'!$A$88&gt;35,BD19+BC20-BL19,IF(A20&lt;'Données projet'!$A$88,$BA$205^A20,IF(A20='Données projet'!$A$88,'Données projet'!$B$88,BD19+BC20-BL19)))</f>
        <v>51.393907792320604</v>
      </c>
      <c r="BE20" s="13">
        <f>BD20*VLOOKUP('Données projet'!$B$11,Paramètres!$A$1:$I$89,3,0)*VLOOKUP('Données projet'!$B$11,Paramètres!$A$1:$I$89,5,0)</f>
        <v>20.711744840305204</v>
      </c>
      <c r="BF20" s="13">
        <f t="shared" si="37"/>
        <v>6.7075069235493423</v>
      </c>
      <c r="BG20" s="20">
        <f t="shared" si="7"/>
        <v>47.755196822046663</v>
      </c>
      <c r="BH20" s="59">
        <f t="shared" si="8"/>
        <v>341.08853015538</v>
      </c>
      <c r="BI20" s="59">
        <f ca="1">AVERAGE(OFFSET($BH$3,0,0,'Données projet'!$E$11+1,1))-AVERAGE(OFFSET($H$3,0,0,'Données projet'!$E$11+1,1))</f>
        <v>265.97106059040101</v>
      </c>
      <c r="BJ20" s="59">
        <f t="shared" si="38"/>
        <v>240.18718869578237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4.55</v>
      </c>
      <c r="BY20" s="12">
        <f>IF('Données projet'!$A$114&gt;35,BY19+BX20-CG19,IF(A20&lt;'Données projet'!$A$114,$BV$205^A20,IF(A20='Données projet'!$A$114,'Données projet'!$B$114,BY19+BX20-CG19)))</f>
        <v>46.257822303288052</v>
      </c>
      <c r="BZ20" s="13">
        <f>BY20*VLOOKUP('Données projet'!$B$12,Paramètres!$A$1:$I$89,3,0)*VLOOKUP('Données projet'!$B$12,Paramètres!$A$1:$I$89,5,0)</f>
        <v>27.66217773736626</v>
      </c>
      <c r="CA20" s="13">
        <f t="shared" si="39"/>
        <v>8.6616944434151719</v>
      </c>
      <c r="CB20" s="20">
        <f t="shared" si="10"/>
        <v>63.264077381527663</v>
      </c>
      <c r="CC20" s="59">
        <f t="shared" si="11"/>
        <v>356.59741071486098</v>
      </c>
      <c r="CD20" s="59">
        <f ca="1">AVERAGE(OFFSET($CC$3,0,0,'Données projet'!$E$12+1,1))-AVERAGE(OFFSET($H$3,0,0,'Données projet'!$E$12+1,1))</f>
        <v>247.30892363953825</v>
      </c>
      <c r="CE20" s="59">
        <f t="shared" si="40"/>
        <v>248.38414731596578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13.25</v>
      </c>
      <c r="N21" s="13">
        <f>IF('Données projet'!$A$36&gt;35,N20+M21-V20,IF(A21&lt;'Données projet'!$A$36,$K$205^A21,IF(A21='Données projet'!$A$36,'Données projet'!$B$36,N20+M21-V20)))</f>
        <v>92.5</v>
      </c>
      <c r="O21" s="13">
        <f>N21*VLOOKUP('Données projet'!$B$9,Paramètres!$A$1:$I$89,3,0)*VLOOKUP('Données projet'!$B$9,Paramètres!$A$1:$I$89,5,0)</f>
        <v>55.315000000000005</v>
      </c>
      <c r="P21" s="13">
        <f t="shared" si="33"/>
        <v>15.978207841877614</v>
      </c>
      <c r="Q21" s="20">
        <f t="shared" si="2"/>
        <v>124.16900365793684</v>
      </c>
      <c r="R21" s="59">
        <f t="shared" si="0"/>
        <v>417.50233699127017</v>
      </c>
      <c r="S21" s="59">
        <f ca="1">AVERAGE(OFFSET($R$3,0,0,'Données projet'!$E$9+1,1))-AVERAGE(OFFSET($H$3,0,0,'Données projet'!$E$9+1,1))</f>
        <v>191.77102466144095</v>
      </c>
      <c r="T21" s="59">
        <f t="shared" si="34"/>
        <v>205.57161411620217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2.5229437031354718</v>
      </c>
      <c r="AB21" s="21">
        <f>EXP(-LN(2)/2)*AB20+(1-EXP(-LN(2)/2))/(LN(2)/2)*V21*Y21*VLOOKUP('Données projet'!$B$9,Paramètres!$A$1:$I$89,3,0)*0.475*44/12</f>
        <v>2.5390309272031004</v>
      </c>
      <c r="AC21" s="22">
        <f t="shared" si="3"/>
        <v>5.0619746303385718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4.55</v>
      </c>
      <c r="AI21" s="13">
        <f>IF('Données projet'!$A$62&gt;35,AI20+AH21-AQ20,IF(A21&lt;'Données projet'!$A$62,$AF$205^A21,IF(A21='Données projet'!$A$62,'Données projet'!$B$62,AI20+AH21-AQ20)))</f>
        <v>57.961184622505009</v>
      </c>
      <c r="AJ21" s="13">
        <f>AI21*VLOOKUP('Données projet'!$B$10,Paramètres!$A$1:$I$89,3,0)*VLOOKUP('Données projet'!$B$10,Paramètres!$A$1:$I$89,5,0)</f>
        <v>34.660788404258</v>
      </c>
      <c r="AK21" s="13">
        <f t="shared" si="35"/>
        <v>10.571906363180744</v>
      </c>
      <c r="AL21" s="20">
        <f t="shared" si="4"/>
        <v>78.780276719955808</v>
      </c>
      <c r="AM21" s="59">
        <f t="shared" si="5"/>
        <v>372.11361005328911</v>
      </c>
      <c r="AN21" s="59">
        <f ca="1">AVERAGE(OFFSET($AM$3,0,0,'Données projet'!$E$10+1,1))-AVERAGE(OFFSET($H$3,0,0,'Données projet'!$E$10+1,1))</f>
        <v>247.30892363953825</v>
      </c>
      <c r="AO21" s="59">
        <f t="shared" si="36"/>
        <v>248.38414731596578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5.15</v>
      </c>
      <c r="BD21" s="12">
        <f>IF('Données projet'!$A$88&gt;35,BD20+BC21-BL20,IF(A21&lt;'Données projet'!$A$88,$BA$205^A21,IF(A21='Données projet'!$A$88,'Données projet'!$B$88,BD20+BC21-BL20)))</f>
        <v>64.79679157537069</v>
      </c>
      <c r="BE21" s="13">
        <f>BD21*VLOOKUP('Données projet'!$B$11,Paramètres!$A$1:$I$89,3,0)*VLOOKUP('Données projet'!$B$11,Paramètres!$A$1:$I$89,5,0)</f>
        <v>26.11310700487439</v>
      </c>
      <c r="BF21" s="13">
        <f t="shared" si="37"/>
        <v>8.2316761899098143</v>
      </c>
      <c r="BG21" s="20">
        <f t="shared" si="7"/>
        <v>59.817164064249148</v>
      </c>
      <c r="BH21" s="59">
        <f t="shared" si="8"/>
        <v>353.15049739758246</v>
      </c>
      <c r="BI21" s="59">
        <f ca="1">AVERAGE(OFFSET($BH$3,0,0,'Données projet'!$E$11+1,1))-AVERAGE(OFFSET($H$3,0,0,'Données projet'!$E$11+1,1))</f>
        <v>265.97106059040101</v>
      </c>
      <c r="BJ21" s="59">
        <f t="shared" si="38"/>
        <v>240.18718869578237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4.55</v>
      </c>
      <c r="BY21" s="12">
        <f>IF('Données projet'!$A$114&gt;35,BY20+BX21-CG20,IF(A21&lt;'Données projet'!$A$114,$BV$205^A21,IF(A21='Données projet'!$A$114,'Données projet'!$B$114,BY20+BX21-CG20)))</f>
        <v>57.961184622505009</v>
      </c>
      <c r="BZ21" s="13">
        <f>BY21*VLOOKUP('Données projet'!$B$12,Paramètres!$A$1:$I$89,3,0)*VLOOKUP('Données projet'!$B$12,Paramètres!$A$1:$I$89,5,0)</f>
        <v>34.660788404258</v>
      </c>
      <c r="CA21" s="13">
        <f t="shared" si="39"/>
        <v>10.571906363180744</v>
      </c>
      <c r="CB21" s="20">
        <f t="shared" si="10"/>
        <v>78.780276719955808</v>
      </c>
      <c r="CC21" s="59">
        <f t="shared" si="11"/>
        <v>372.11361005328911</v>
      </c>
      <c r="CD21" s="59">
        <f ca="1">AVERAGE(OFFSET($CC$3,0,0,'Données projet'!$E$12+1,1))-AVERAGE(OFFSET($H$3,0,0,'Données projet'!$E$12+1,1))</f>
        <v>247.30892363953825</v>
      </c>
      <c r="CE21" s="59">
        <f t="shared" si="40"/>
        <v>248.38414731596578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13.25</v>
      </c>
      <c r="N22" s="13">
        <f>IF('Données projet'!$A$36&gt;35,N21+M22-V21,IF(A22&lt;'Données projet'!$A$36,$K$205^A22,IF(A22='Données projet'!$A$36,'Données projet'!$B$36,N21+M22-V21)))</f>
        <v>105.75</v>
      </c>
      <c r="O22" s="13">
        <f>N22*VLOOKUP('Données projet'!$B$9,Paramètres!$A$1:$I$89,3,0)*VLOOKUP('Données projet'!$B$9,Paramètres!$A$1:$I$89,5,0)</f>
        <v>63.238500000000009</v>
      </c>
      <c r="P22" s="13">
        <f t="shared" si="33"/>
        <v>17.984541540394584</v>
      </c>
      <c r="Q22" s="20">
        <f t="shared" si="2"/>
        <v>141.46346401618726</v>
      </c>
      <c r="R22" s="59">
        <f t="shared" si="0"/>
        <v>434.7967973495206</v>
      </c>
      <c r="S22" s="59">
        <f ca="1">AVERAGE(OFFSET($R$3,0,0,'Données projet'!$E$9+1,1))-AVERAGE(OFFSET($H$3,0,0,'Données projet'!$E$9+1,1))</f>
        <v>191.77102466144095</v>
      </c>
      <c r="T22" s="59">
        <f t="shared" si="34"/>
        <v>205.57161411620217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2.4539536748973894</v>
      </c>
      <c r="AB22" s="21">
        <f>EXP(-LN(2)/2)*AB21+(1-EXP(-LN(2)/2))/(LN(2)/2)*V22*Y22*VLOOKUP('Données projet'!$B$9,Paramètres!$A$1:$I$89,3,0)*0.475*44/12</f>
        <v>1.7953659862676796</v>
      </c>
      <c r="AC22" s="22">
        <f t="shared" si="3"/>
        <v>4.2493196611650692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4.55</v>
      </c>
      <c r="AI22" s="13">
        <f>IF('Données projet'!$A$62&gt;35,AI21+AH22-AQ21,IF(A22&lt;'Données projet'!$A$62,$AF$205^A22,IF(A22='Données projet'!$A$62,'Données projet'!$B$62,AI21+AH22-AQ21)))</f>
        <v>72.625531327818578</v>
      </c>
      <c r="AJ22" s="13">
        <f>AI22*VLOOKUP('Données projet'!$B$10,Paramètres!$A$1:$I$89,3,0)*VLOOKUP('Données projet'!$B$10,Paramètres!$A$1:$I$89,5,0)</f>
        <v>43.430067734035511</v>
      </c>
      <c r="AK22" s="13">
        <f t="shared" si="35"/>
        <v>12.903388001273598</v>
      </c>
      <c r="AL22" s="20">
        <f t="shared" si="4"/>
        <v>98.114102072330027</v>
      </c>
      <c r="AM22" s="59">
        <f t="shared" si="5"/>
        <v>391.44743540566333</v>
      </c>
      <c r="AN22" s="59">
        <f ca="1">AVERAGE(OFFSET($AM$3,0,0,'Données projet'!$E$10+1,1))-AVERAGE(OFFSET($H$3,0,0,'Données projet'!$E$10+1,1))</f>
        <v>247.30892363953825</v>
      </c>
      <c r="AO22" s="59">
        <f t="shared" si="36"/>
        <v>248.38414731596578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5.15</v>
      </c>
      <c r="BD22" s="12">
        <f>IF('Données projet'!$A$88&gt;35,BD21+BC22-BL21,IF(A22&lt;'Données projet'!$A$88,$BA$205^A22,IF(A22='Données projet'!$A$88,'Données projet'!$B$88,BD21+BC22-BL21)))</f>
        <v>81.694978623310661</v>
      </c>
      <c r="BE22" s="13">
        <f>BD22*VLOOKUP('Données projet'!$B$11,Paramètres!$A$1:$I$89,3,0)*VLOOKUP('Données projet'!$B$11,Paramètres!$A$1:$I$89,5,0)</f>
        <v>32.923076385194193</v>
      </c>
      <c r="BF22" s="13">
        <f t="shared" si="37"/>
        <v>10.102187544172093</v>
      </c>
      <c r="BG22" s="20">
        <f t="shared" si="7"/>
        <v>74.935668010312952</v>
      </c>
      <c r="BH22" s="59">
        <f t="shared" si="8"/>
        <v>368.26900134364627</v>
      </c>
      <c r="BI22" s="59">
        <f ca="1">AVERAGE(OFFSET($BH$3,0,0,'Données projet'!$E$11+1,1))-AVERAGE(OFFSET($H$3,0,0,'Données projet'!$E$11+1,1))</f>
        <v>265.97106059040101</v>
      </c>
      <c r="BJ22" s="59">
        <f t="shared" si="38"/>
        <v>240.18718869578237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4.55</v>
      </c>
      <c r="BY22" s="12">
        <f>IF('Données projet'!$A$114&gt;35,BY21+BX22-CG21,IF(A22&lt;'Données projet'!$A$114,$BV$205^A22,IF(A22='Données projet'!$A$114,'Données projet'!$B$114,BY21+BX22-CG21)))</f>
        <v>72.625531327818578</v>
      </c>
      <c r="BZ22" s="13">
        <f>BY22*VLOOKUP('Données projet'!$B$12,Paramètres!$A$1:$I$89,3,0)*VLOOKUP('Données projet'!$B$12,Paramètres!$A$1:$I$89,5,0)</f>
        <v>43.430067734035511</v>
      </c>
      <c r="CA22" s="13">
        <f t="shared" si="39"/>
        <v>12.903388001273598</v>
      </c>
      <c r="CB22" s="20">
        <f t="shared" si="10"/>
        <v>98.114102072330027</v>
      </c>
      <c r="CC22" s="59">
        <f t="shared" si="11"/>
        <v>391.44743540566333</v>
      </c>
      <c r="CD22" s="59">
        <f ca="1">AVERAGE(OFFSET($CC$3,0,0,'Données projet'!$E$12+1,1))-AVERAGE(OFFSET($H$3,0,0,'Données projet'!$E$12+1,1))</f>
        <v>247.30892363953825</v>
      </c>
      <c r="CE22" s="59">
        <f t="shared" si="40"/>
        <v>248.38414731596578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119</v>
      </c>
      <c r="L23" s="12">
        <f>VLOOKUP(A23,'Données projet'!$A$35:$I$55,9,0)</f>
        <v>13.25</v>
      </c>
      <c r="M23" s="12">
        <f t="array" ref="M23">INDEX(L:L,MIN(IF(ISNUMBER(L23:L219),ROW(L23:L219),"")))</f>
        <v>13.25</v>
      </c>
      <c r="N23" s="13">
        <f>IF('Données projet'!$A$36&gt;35,N22+M23-V22,IF(A23&lt;'Données projet'!$A$36,$K$205^A23,IF(A23='Données projet'!$A$36,'Données projet'!$B$36,N22+M23-V22)))</f>
        <v>119</v>
      </c>
      <c r="O23" s="13">
        <f>N23*VLOOKUP('Données projet'!$B$9,Paramètres!$A$1:$I$89,3,0)*VLOOKUP('Données projet'!$B$9,Paramètres!$A$1:$I$89,5,0)</f>
        <v>71.162000000000006</v>
      </c>
      <c r="P23" s="13">
        <f t="shared" si="33"/>
        <v>19.961746043676346</v>
      </c>
      <c r="Q23" s="20">
        <f t="shared" si="2"/>
        <v>158.70719102606964</v>
      </c>
      <c r="R23" s="59">
        <f t="shared" si="0"/>
        <v>452.04052435940298</v>
      </c>
      <c r="S23" s="59">
        <f ca="1">AVERAGE(OFFSET($R$3,0,0,'Données projet'!$E$9+1,1))-AVERAGE(OFFSET($H$3,0,0,'Données projet'!$E$9+1,1))</f>
        <v>191.77102466144095</v>
      </c>
      <c r="T23" s="59">
        <f t="shared" si="34"/>
        <v>205.57161411620217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22</v>
      </c>
      <c r="W23" s="16">
        <f>IF(ISNA(VLOOKUP(A23,'Données projet'!$A$35:$I$55,5,0)),0%,VLOOKUP(A23,'Données projet'!$A$35:$I$55,5,0)*VLOOKUP('Données projet'!$B$9,Paramètres!$A$1:$I$89,7,0))</f>
        <v>4.5000000000000005E-2</v>
      </c>
      <c r="X23" s="16">
        <f>IF(ISNA(VLOOKUP(A23,'Données projet'!$A$35:$I$55,6,0)),0%,VLOOKUP(A23,'Données projet'!$A$35:$I$55,6,0)*VLOOKUP('Données projet'!$B$9,Paramètres!$A$1:$I$89,7,0))</f>
        <v>0.20250000000000001</v>
      </c>
      <c r="Y23" s="16">
        <f>IF(ISNA(VLOOKUP(A23,'Données projet'!$A$35:$I$55,7,0)),0%,VLOOKUP(A23,'Données projet'!$A$35:$I$55,7,0))</f>
        <v>0.45</v>
      </c>
      <c r="Z23" s="21">
        <f>EXP(-LN(2)/35)*Z22+(1-EXP(-LN(2)/35))/(LN(2)/35)*V23*W23*VLOOKUP('Données projet'!$B$9,Paramètres!$A$1:$I$89,3,0)*0.475*44/12</f>
        <v>0.78535268890931675</v>
      </c>
      <c r="AA23" s="21">
        <f>EXP(-LN(2)/25)*AA22+(1-EXP(-LN(2)/25))/(LN(2)/25)*Calculateur!V23*Calculateur!X23*VLOOKUP('Données projet'!$B$9,Paramètres!$A$1:$I$89,3,0)*0.475*44/12</f>
        <v>5.9070222351956119</v>
      </c>
      <c r="AB23" s="21">
        <f>EXP(-LN(2)/2)*AB22+(1-EXP(-LN(2)/2))/(LN(2)/2)*V23*Y23*VLOOKUP('Données projet'!$B$9,Paramètres!$A$1:$I$89,3,0)*0.475*44/12</f>
        <v>7.9725571114177329</v>
      </c>
      <c r="AC23" s="22">
        <f t="shared" si="3"/>
        <v>14.664932035522661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91</v>
      </c>
      <c r="AG23" s="12">
        <f>VLOOKUP(A23,'Données projet'!$A$61:$I$81,9,0)</f>
        <v>4.55</v>
      </c>
      <c r="AH23" s="12">
        <f t="array" ref="AH23">INDEX(AG:AG,MIN(IF(ISNUMBER(AG23:AG219),ROW(AG23:AG219),"")))</f>
        <v>4.55</v>
      </c>
      <c r="AI23" s="13">
        <f>IF('Données projet'!$A$62&gt;35,AI22+AH23-AQ22,IF(A23&lt;'Données projet'!$A$62,$AF$205^A23,IF(A23='Données projet'!$A$62,'Données projet'!$B$62,AI22+AH23-AQ22)))</f>
        <v>91</v>
      </c>
      <c r="AJ23" s="13">
        <f>AI23*VLOOKUP('Données projet'!$B$10,Paramètres!$A$1:$I$89,3,0)*VLOOKUP('Données projet'!$B$10,Paramètres!$A$1:$I$89,5,0)</f>
        <v>54.417999999999999</v>
      </c>
      <c r="AK23" s="13">
        <f t="shared" si="35"/>
        <v>15.749044324804036</v>
      </c>
      <c r="AL23" s="20">
        <f t="shared" si="4"/>
        <v>122.20760219903367</v>
      </c>
      <c r="AM23" s="59">
        <f t="shared" si="5"/>
        <v>415.54093553236697</v>
      </c>
      <c r="AN23" s="59">
        <f ca="1">AVERAGE(OFFSET($AM$3,0,0,'Données projet'!$E$10+1,1))-AVERAGE(OFFSET($H$3,0,0,'Données projet'!$E$10+1,1))</f>
        <v>247.30892363953825</v>
      </c>
      <c r="AO23" s="59">
        <f t="shared" si="36"/>
        <v>248.38414731596578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0.22500000000000001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0.53335940190698583</v>
      </c>
      <c r="AW23" s="21">
        <f>EXP(-LN(2)/2)*AW22+(1-EXP(-LN(2)/2))/(LN(2)/2)*AQ23*AT23*VLOOKUP('Données projet'!$B$10,Paramètres!$A$1:$I$89,3,0)*0.475*44/12</f>
        <v>1.0156123708812399</v>
      </c>
      <c r="AX23" s="21">
        <f t="shared" si="6"/>
        <v>1.5489717727882257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103</v>
      </c>
      <c r="BB23" s="12">
        <f>VLOOKUP(A23,'Données projet'!$A$87:$I$107,9,0)</f>
        <v>5.15</v>
      </c>
      <c r="BC23" s="12">
        <f t="array" ref="BC23">INDEX(BB:BB,MIN(IF(ISNUMBER(BB23:BB219),ROW(BB23:BB219),"")))</f>
        <v>5.15</v>
      </c>
      <c r="BD23" s="12">
        <f>IF('Données projet'!$A$88&gt;35,BD22+BC23-BL22,IF(A23&lt;'Données projet'!$A$88,$BA$205^A23,IF(A23='Données projet'!$A$88,'Données projet'!$B$88,BD22+BC23-BL22)))</f>
        <v>103</v>
      </c>
      <c r="BE23" s="13">
        <f>BD23*VLOOKUP('Données projet'!$B$11,Paramètres!$A$1:$I$89,3,0)*VLOOKUP('Données projet'!$B$11,Paramètres!$A$1:$I$89,5,0)</f>
        <v>41.509</v>
      </c>
      <c r="BF23" s="13">
        <f t="shared" si="37"/>
        <v>12.397741459111471</v>
      </c>
      <c r="BG23" s="20">
        <f t="shared" si="7"/>
        <v>93.887574707952481</v>
      </c>
      <c r="BH23" s="59">
        <f t="shared" si="8"/>
        <v>387.22090804128578</v>
      </c>
      <c r="BI23" s="59">
        <f ca="1">AVERAGE(OFFSET($BH$3,0,0,'Données projet'!$E$11+1,1))-AVERAGE(OFFSET($H$3,0,0,'Données projet'!$E$11+1,1))</f>
        <v>265.97106059040101</v>
      </c>
      <c r="BJ23" s="59">
        <f t="shared" si="38"/>
        <v>240.18718869578237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91</v>
      </c>
      <c r="BW23" s="12">
        <f>VLOOKUP(A23,'Données projet'!$A$113:$I$133,9,0)</f>
        <v>4.55</v>
      </c>
      <c r="BX23" s="12">
        <f t="array" ref="BX23">INDEX(BW:BW,MIN(IF(ISNUMBER(BW23:BW219),ROW(BW23:BW219),"")))</f>
        <v>4.55</v>
      </c>
      <c r="BY23" s="12">
        <f>IF('Données projet'!$A$114&gt;35,BY22+BX23-CG22,IF(A23&lt;'Données projet'!$A$114,$BV$205^A23,IF(A23='Données projet'!$A$114,'Données projet'!$B$114,BY22+BX23-CG22)))</f>
        <v>91</v>
      </c>
      <c r="BZ23" s="13">
        <f>BY23*VLOOKUP('Données projet'!$B$12,Paramètres!$A$1:$I$89,3,0)*VLOOKUP('Données projet'!$B$12,Paramètres!$A$1:$I$89,5,0)</f>
        <v>54.417999999999999</v>
      </c>
      <c r="CA23" s="13">
        <f t="shared" si="39"/>
        <v>15.749044324804036</v>
      </c>
      <c r="CB23" s="20">
        <f t="shared" si="10"/>
        <v>122.20760219903367</v>
      </c>
      <c r="CC23" s="59">
        <f t="shared" si="11"/>
        <v>415.54093553236697</v>
      </c>
      <c r="CD23" s="59">
        <f ca="1">AVERAGE(OFFSET($CC$3,0,0,'Données projet'!$E$12+1,1))-AVERAGE(OFFSET($H$3,0,0,'Données projet'!$E$12+1,1))</f>
        <v>247.30892363953825</v>
      </c>
      <c r="CE23" s="59">
        <f t="shared" si="40"/>
        <v>248.38414731596578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0.22500000000000001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0.53335940190698583</v>
      </c>
      <c r="CM23" s="21">
        <f>EXP(-LN(2)/2)*CM22+(1-EXP(-LN(2)/2))/(LN(2)/2)*CG23*CJ23*VLOOKUP('Données projet'!$B$12,Paramètres!$A$1:$I$89,3,0)*0.475*44/12</f>
        <v>1.0156123708812399</v>
      </c>
      <c r="CN23" s="22">
        <f t="shared" si="12"/>
        <v>1.5489717727882257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</v>
      </c>
      <c r="N24" s="13">
        <f>IF('Données projet'!$A$36&gt;35,N23+M24-V23,IF(A24&lt;'Données projet'!$A$36,$K$205^A24,IF(A24='Données projet'!$A$36,'Données projet'!$B$36,N23+M24-V23)))</f>
        <v>112</v>
      </c>
      <c r="O24" s="13">
        <f>N24*VLOOKUP('Données projet'!$B$9,Paramètres!$A$1:$I$89,3,0)*VLOOKUP('Données projet'!$B$9,Paramètres!$A$1:$I$89,5,0)</f>
        <v>66.976000000000013</v>
      </c>
      <c r="P24" s="13">
        <f t="shared" si="33"/>
        <v>18.920572617446965</v>
      </c>
      <c r="Q24" s="20">
        <f t="shared" si="2"/>
        <v>149.60319730872013</v>
      </c>
      <c r="R24" s="59">
        <f t="shared" si="0"/>
        <v>442.93653064205341</v>
      </c>
      <c r="S24" s="59">
        <f ca="1">AVERAGE(OFFSET($R$3,0,0,'Données projet'!$E$9+1,1))-AVERAGE(OFFSET($H$3,0,0,'Données projet'!$E$9+1,1))</f>
        <v>191.77102466144095</v>
      </c>
      <c r="T24" s="59">
        <f t="shared" si="34"/>
        <v>205.57161411620217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0.76995240169764623</v>
      </c>
      <c r="AA24" s="21">
        <f>EXP(-LN(2)/25)*AA23+(1-EXP(-LN(2)/25))/(LN(2)/25)*Calculateur!V24*Calculateur!X24*VLOOKUP('Données projet'!$B$9,Paramètres!$A$1:$I$89,3,0)*0.475*44/12</f>
        <v>5.745494401537389</v>
      </c>
      <c r="AB24" s="21">
        <f>EXP(-LN(2)/2)*AB23+(1-EXP(-LN(2)/2))/(LN(2)/2)*V24*Y24*VLOOKUP('Données projet'!$B$9,Paramètres!$A$1:$I$89,3,0)*0.475*44/12</f>
        <v>5.6374491968805129</v>
      </c>
      <c r="AC24" s="22">
        <f t="shared" si="3"/>
        <v>12.152896000115547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</v>
      </c>
      <c r="AI24" s="13">
        <f>IF('Données projet'!$A$62&gt;35,AI23+AH24-AQ23,IF(A24&lt;'Données projet'!$A$62,$AF$205^A24,IF(A24='Données projet'!$A$62,'Données projet'!$B$62,AI23+AH24-AQ23)))</f>
        <v>101</v>
      </c>
      <c r="AJ24" s="13">
        <f>AI24*VLOOKUP('Données projet'!$B$10,Paramètres!$A$1:$I$89,3,0)*VLOOKUP('Données projet'!$B$10,Paramètres!$A$1:$I$89,5,0)</f>
        <v>60.398000000000003</v>
      </c>
      <c r="AK24" s="13">
        <f t="shared" si="35"/>
        <v>17.26885714728807</v>
      </c>
      <c r="AL24" s="20">
        <f t="shared" si="4"/>
        <v>135.26977619819337</v>
      </c>
      <c r="AM24" s="59">
        <f t="shared" si="5"/>
        <v>428.60310953152668</v>
      </c>
      <c r="AN24" s="59">
        <f ca="1">AVERAGE(OFFSET($AM$3,0,0,'Données projet'!$E$10+1,1))-AVERAGE(OFFSET($H$3,0,0,'Données projet'!$E$10+1,1))</f>
        <v>247.30892363953825</v>
      </c>
      <c r="AO24" s="59">
        <f t="shared" si="36"/>
        <v>248.38414731596578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0.51877466101368741</v>
      </c>
      <c r="AW24" s="21">
        <f>EXP(-LN(2)/2)*AW23+(1-EXP(-LN(2)/2))/(LN(2)/2)*AQ24*AT24*VLOOKUP('Données projet'!$B$10,Paramètres!$A$1:$I$89,3,0)*0.475*44/12</f>
        <v>0.71814639450707174</v>
      </c>
      <c r="AX24" s="21">
        <f t="shared" si="6"/>
        <v>1.2369210555207593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21.1</v>
      </c>
      <c r="BD24" s="12">
        <f>IF('Données projet'!$A$88&gt;35,BD23+BC24-BL23,IF(A24&lt;'Données projet'!$A$88,$BA$205^A24,IF(A24='Données projet'!$A$88,'Données projet'!$B$88,BD23+BC24-BL23)))</f>
        <v>124.1</v>
      </c>
      <c r="BE24" s="13">
        <f>BD24*VLOOKUP('Données projet'!$B$11,Paramètres!$A$1:$I$89,3,0)*VLOOKUP('Données projet'!$B$11,Paramètres!$A$1:$I$89,5,0)</f>
        <v>50.012299999999996</v>
      </c>
      <c r="BF24" s="13">
        <f t="shared" si="37"/>
        <v>14.616936146616462</v>
      </c>
      <c r="BG24" s="20">
        <f t="shared" si="7"/>
        <v>112.56258628869034</v>
      </c>
      <c r="BH24" s="59">
        <f t="shared" si="8"/>
        <v>405.89591962202365</v>
      </c>
      <c r="BI24" s="59">
        <f ca="1">AVERAGE(OFFSET($BH$3,0,0,'Données projet'!$E$11+1,1))-AVERAGE(OFFSET($H$3,0,0,'Données projet'!$E$11+1,1))</f>
        <v>265.97106059040101</v>
      </c>
      <c r="BJ24" s="59">
        <f t="shared" si="38"/>
        <v>240.18718869578237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13</v>
      </c>
      <c r="BY24" s="12">
        <f>IF('Données projet'!$A$114&gt;35,BY23+BX24-CG23,IF(A24&lt;'Données projet'!$A$114,$BV$205^A24,IF(A24='Données projet'!$A$114,'Données projet'!$B$114,BY23+BX24-CG23)))</f>
        <v>101</v>
      </c>
      <c r="BZ24" s="13">
        <f>BY24*VLOOKUP('Données projet'!$B$12,Paramètres!$A$1:$I$89,3,0)*VLOOKUP('Données projet'!$B$12,Paramètres!$A$1:$I$89,5,0)</f>
        <v>60.398000000000003</v>
      </c>
      <c r="CA24" s="13">
        <f t="shared" si="39"/>
        <v>17.26885714728807</v>
      </c>
      <c r="CB24" s="20">
        <f t="shared" si="10"/>
        <v>135.26977619819337</v>
      </c>
      <c r="CC24" s="59">
        <f t="shared" si="11"/>
        <v>428.60310953152668</v>
      </c>
      <c r="CD24" s="59">
        <f ca="1">AVERAGE(OFFSET($CC$3,0,0,'Données projet'!$E$12+1,1))-AVERAGE(OFFSET($H$3,0,0,'Données projet'!$E$12+1,1))</f>
        <v>247.30892363953825</v>
      </c>
      <c r="CE24" s="59">
        <f t="shared" si="40"/>
        <v>248.38414731596578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0.51877466101368741</v>
      </c>
      <c r="CM24" s="21">
        <f>EXP(-LN(2)/2)*CM23+(1-EXP(-LN(2)/2))/(LN(2)/2)*CG24*CJ24*VLOOKUP('Données projet'!$B$12,Paramètres!$A$1:$I$89,3,0)*0.475*44/12</f>
        <v>0.71814639450707174</v>
      </c>
      <c r="CN24" s="22">
        <f t="shared" si="12"/>
        <v>1.2369210555207593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</v>
      </c>
      <c r="N25" s="13">
        <f>IF('Données projet'!$A$36&gt;35,N24+M25-V24,IF(A25&lt;'Données projet'!$A$36,$K$205^A25,IF(A25='Données projet'!$A$36,'Données projet'!$B$36,N24+M25-V24)))</f>
        <v>127</v>
      </c>
      <c r="O25" s="13">
        <f>N25*VLOOKUP('Données projet'!$B$9,Paramètres!$A$1:$I$89,3,0)*VLOOKUP('Données projet'!$B$9,Paramètres!$A$1:$I$89,5,0)</f>
        <v>75.945999999999998</v>
      </c>
      <c r="P25" s="13">
        <f t="shared" si="33"/>
        <v>21.142979995226831</v>
      </c>
      <c r="Q25" s="20">
        <f t="shared" si="2"/>
        <v>169.09664015835338</v>
      </c>
      <c r="R25" s="59">
        <f t="shared" si="0"/>
        <v>462.42997349168672</v>
      </c>
      <c r="S25" s="59">
        <f ca="1">AVERAGE(OFFSET($R$3,0,0,'Données projet'!$E$9+1,1))-AVERAGE(OFFSET($H$3,0,0,'Données projet'!$E$9+1,1))</f>
        <v>191.77102466144095</v>
      </c>
      <c r="T25" s="59">
        <f t="shared" si="34"/>
        <v>205.57161411620217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0.75485410472494885</v>
      </c>
      <c r="AA25" s="21">
        <f>EXP(-LN(2)/25)*AA24+(1-EXP(-LN(2)/25))/(LN(2)/25)*Calculateur!V25*Calculateur!X25*VLOOKUP('Données projet'!$B$9,Paramètres!$A$1:$I$89,3,0)*0.475*44/12</f>
        <v>5.5883835549849303</v>
      </c>
      <c r="AB25" s="21">
        <f>EXP(-LN(2)/2)*AB24+(1-EXP(-LN(2)/2))/(LN(2)/2)*V25*Y25*VLOOKUP('Données projet'!$B$9,Paramètres!$A$1:$I$89,3,0)*0.475*44/12</f>
        <v>3.9862785557088674</v>
      </c>
      <c r="AC25" s="22">
        <f t="shared" si="3"/>
        <v>10.329516215418746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</v>
      </c>
      <c r="AI25" s="13">
        <f>IF('Données projet'!$A$62&gt;35,AI24+AH25-AQ24,IF(A25&lt;'Données projet'!$A$62,$AF$205^A25,IF(A25='Données projet'!$A$62,'Données projet'!$B$62,AI24+AH25-AQ24)))</f>
        <v>114</v>
      </c>
      <c r="AJ25" s="13">
        <f>AI25*VLOOKUP('Données projet'!$B$10,Paramètres!$A$1:$I$89,3,0)*VLOOKUP('Données projet'!$B$10,Paramètres!$A$1:$I$89,5,0)</f>
        <v>68.172000000000011</v>
      </c>
      <c r="AK25" s="13">
        <f t="shared" si="35"/>
        <v>19.21880399855084</v>
      </c>
      <c r="AL25" s="20">
        <f t="shared" si="4"/>
        <v>152.20565029747607</v>
      </c>
      <c r="AM25" s="59">
        <f t="shared" si="5"/>
        <v>445.53898363080941</v>
      </c>
      <c r="AN25" s="59">
        <f ca="1">AVERAGE(OFFSET($AM$3,0,0,'Données projet'!$E$10+1,1))-AVERAGE(OFFSET($H$3,0,0,'Données projet'!$E$10+1,1))</f>
        <v>247.30892363953825</v>
      </c>
      <c r="AO25" s="59">
        <f t="shared" si="36"/>
        <v>248.38414731596578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0.50458874062709436</v>
      </c>
      <c r="AW25" s="21">
        <f>EXP(-LN(2)/2)*AW24+(1-EXP(-LN(2)/2))/(LN(2)/2)*AQ25*AT25*VLOOKUP('Données projet'!$B$10,Paramètres!$A$1:$I$89,3,0)*0.475*44/12</f>
        <v>0.50780618544062006</v>
      </c>
      <c r="AX25" s="21">
        <f t="shared" si="6"/>
        <v>1.0123949260677145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21.1</v>
      </c>
      <c r="BD25" s="12">
        <f>IF('Données projet'!$A$88&gt;35,BD24+BC25-BL24,IF(A25&lt;'Données projet'!$A$88,$BA$205^A25,IF(A25='Données projet'!$A$88,'Données projet'!$B$88,BD24+BC25-BL24)))</f>
        <v>145.19999999999999</v>
      </c>
      <c r="BE25" s="13">
        <f>BD25*VLOOKUP('Données projet'!$B$11,Paramètres!$A$1:$I$89,3,0)*VLOOKUP('Données projet'!$B$11,Paramètres!$A$1:$I$89,5,0)</f>
        <v>58.515599999999992</v>
      </c>
      <c r="BF25" s="13">
        <f t="shared" si="37"/>
        <v>16.792420691577668</v>
      </c>
      <c r="BG25" s="20">
        <f t="shared" si="7"/>
        <v>131.16146937116443</v>
      </c>
      <c r="BH25" s="59">
        <f t="shared" si="8"/>
        <v>424.49480270449772</v>
      </c>
      <c r="BI25" s="59">
        <f ca="1">AVERAGE(OFFSET($BH$3,0,0,'Données projet'!$E$11+1,1))-AVERAGE(OFFSET($H$3,0,0,'Données projet'!$E$11+1,1))</f>
        <v>265.97106059040101</v>
      </c>
      <c r="BJ25" s="59">
        <f t="shared" si="38"/>
        <v>240.18718869578237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13</v>
      </c>
      <c r="BY25" s="12">
        <f>IF('Données projet'!$A$114&gt;35,BY24+BX25-CG24,IF(A25&lt;'Données projet'!$A$114,$BV$205^A25,IF(A25='Données projet'!$A$114,'Données projet'!$B$114,BY24+BX25-CG24)))</f>
        <v>114</v>
      </c>
      <c r="BZ25" s="13">
        <f>BY25*VLOOKUP('Données projet'!$B$12,Paramètres!$A$1:$I$89,3,0)*VLOOKUP('Données projet'!$B$12,Paramètres!$A$1:$I$89,5,0)</f>
        <v>68.172000000000011</v>
      </c>
      <c r="CA25" s="13">
        <f t="shared" si="39"/>
        <v>19.21880399855084</v>
      </c>
      <c r="CB25" s="20">
        <f t="shared" si="10"/>
        <v>152.20565029747607</v>
      </c>
      <c r="CC25" s="59">
        <f t="shared" si="11"/>
        <v>445.53898363080941</v>
      </c>
      <c r="CD25" s="59">
        <f ca="1">AVERAGE(OFFSET($CC$3,0,0,'Données projet'!$E$12+1,1))-AVERAGE(OFFSET($H$3,0,0,'Données projet'!$E$12+1,1))</f>
        <v>247.30892363953825</v>
      </c>
      <c r="CE25" s="59">
        <f t="shared" si="40"/>
        <v>248.38414731596578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0.50458874062709436</v>
      </c>
      <c r="CM25" s="21">
        <f>EXP(-LN(2)/2)*CM24+(1-EXP(-LN(2)/2))/(LN(2)/2)*CG25*CJ25*VLOOKUP('Données projet'!$B$12,Paramètres!$A$1:$I$89,3,0)*0.475*44/12</f>
        <v>0.50780618544062006</v>
      </c>
      <c r="CN25" s="22">
        <f t="shared" si="12"/>
        <v>1.0123949260677145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</v>
      </c>
      <c r="N26" s="13">
        <f>IF('Données projet'!$A$36&gt;35,N25+M26-V25,IF(A26&lt;'Données projet'!$A$36,$K$205^A26,IF(A26='Données projet'!$A$36,'Données projet'!$B$36,N25+M26-V25)))</f>
        <v>142</v>
      </c>
      <c r="O26" s="13">
        <f>N26*VLOOKUP('Données projet'!$B$9,Paramètres!$A$1:$I$89,3,0)*VLOOKUP('Données projet'!$B$9,Paramètres!$A$1:$I$89,5,0)</f>
        <v>84.916000000000011</v>
      </c>
      <c r="P26" s="13">
        <f t="shared" si="33"/>
        <v>23.33496813320572</v>
      </c>
      <c r="Q26" s="20">
        <f t="shared" si="2"/>
        <v>188.53710283199996</v>
      </c>
      <c r="R26" s="59">
        <f t="shared" si="0"/>
        <v>481.87043616533327</v>
      </c>
      <c r="S26" s="59">
        <f ca="1">AVERAGE(OFFSET($R$3,0,0,'Données projet'!$E$9+1,1))-AVERAGE(OFFSET($H$3,0,0,'Données projet'!$E$9+1,1))</f>
        <v>191.77102466144095</v>
      </c>
      <c r="T26" s="59">
        <f t="shared" si="34"/>
        <v>205.57161411620217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0.74005187614683421</v>
      </c>
      <c r="AA26" s="21">
        <f>EXP(-LN(2)/25)*AA25+(1-EXP(-LN(2)/25))/(LN(2)/25)*Calculateur!V26*Calculateur!X26*VLOOKUP('Données projet'!$B$9,Paramètres!$A$1:$I$89,3,0)*0.475*44/12</f>
        <v>5.4355689127935483</v>
      </c>
      <c r="AB26" s="21">
        <f>EXP(-LN(2)/2)*AB25+(1-EXP(-LN(2)/2))/(LN(2)/2)*V26*Y26*VLOOKUP('Données projet'!$B$9,Paramètres!$A$1:$I$89,3,0)*0.475*44/12</f>
        <v>2.8187245984402569</v>
      </c>
      <c r="AC26" s="22">
        <f t="shared" si="3"/>
        <v>8.9943453873806405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</v>
      </c>
      <c r="AI26" s="13">
        <f>IF('Données projet'!$A$62&gt;35,AI25+AH26-AQ25,IF(A26&lt;'Données projet'!$A$62,$AF$205^A26,IF(A26='Données projet'!$A$62,'Données projet'!$B$62,AI25+AH26-AQ25)))</f>
        <v>127</v>
      </c>
      <c r="AJ26" s="13">
        <f>AI26*VLOOKUP('Données projet'!$B$10,Paramètres!$A$1:$I$89,3,0)*VLOOKUP('Données projet'!$B$10,Paramètres!$A$1:$I$89,5,0)</f>
        <v>75.945999999999998</v>
      </c>
      <c r="AK26" s="13">
        <f t="shared" si="35"/>
        <v>21.142979995226831</v>
      </c>
      <c r="AL26" s="20">
        <f t="shared" si="4"/>
        <v>169.09664015835338</v>
      </c>
      <c r="AM26" s="59">
        <f t="shared" si="5"/>
        <v>462.42997349168672</v>
      </c>
      <c r="AN26" s="59">
        <f ca="1">AVERAGE(OFFSET($AM$3,0,0,'Données projet'!$E$10+1,1))-AVERAGE(OFFSET($H$3,0,0,'Données projet'!$E$10+1,1))</f>
        <v>247.30892363953825</v>
      </c>
      <c r="AO26" s="59">
        <f t="shared" si="36"/>
        <v>248.38414731596578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0.49079073497947784</v>
      </c>
      <c r="AW26" s="21">
        <f>EXP(-LN(2)/2)*AW25+(1-EXP(-LN(2)/2))/(LN(2)/2)*AQ26*AT26*VLOOKUP('Données projet'!$B$10,Paramètres!$A$1:$I$89,3,0)*0.475*44/12</f>
        <v>0.35907319725353593</v>
      </c>
      <c r="AX26" s="21">
        <f t="shared" si="6"/>
        <v>0.84986393223301371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21.1</v>
      </c>
      <c r="BD26" s="12">
        <f>IF('Données projet'!$A$88&gt;35,BD25+BC26-BL25,IF(A26&lt;'Données projet'!$A$88,$BA$205^A26,IF(A26='Données projet'!$A$88,'Données projet'!$B$88,BD25+BC26-BL25)))</f>
        <v>166.29999999999998</v>
      </c>
      <c r="BE26" s="13">
        <f>BD26*VLOOKUP('Données projet'!$B$11,Paramètres!$A$1:$I$89,3,0)*VLOOKUP('Données projet'!$B$11,Paramètres!$A$1:$I$89,5,0)</f>
        <v>67.018900000000002</v>
      </c>
      <c r="BF26" s="13">
        <f t="shared" si="37"/>
        <v>18.931280704229181</v>
      </c>
      <c r="BG26" s="20">
        <f t="shared" si="7"/>
        <v>149.6965647265325</v>
      </c>
      <c r="BH26" s="59">
        <f t="shared" si="8"/>
        <v>443.02989805986579</v>
      </c>
      <c r="BI26" s="59">
        <f ca="1">AVERAGE(OFFSET($BH$3,0,0,'Données projet'!$E$11+1,1))-AVERAGE(OFFSET($H$3,0,0,'Données projet'!$E$11+1,1))</f>
        <v>265.97106059040101</v>
      </c>
      <c r="BJ26" s="59">
        <f t="shared" si="38"/>
        <v>240.18718869578237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13</v>
      </c>
      <c r="BY26" s="12">
        <f>IF('Données projet'!$A$114&gt;35,BY25+BX26-CG25,IF(A26&lt;'Données projet'!$A$114,$BV$205^A26,IF(A26='Données projet'!$A$114,'Données projet'!$B$114,BY25+BX26-CG25)))</f>
        <v>127</v>
      </c>
      <c r="BZ26" s="13">
        <f>BY26*VLOOKUP('Données projet'!$B$12,Paramètres!$A$1:$I$89,3,0)*VLOOKUP('Données projet'!$B$12,Paramètres!$A$1:$I$89,5,0)</f>
        <v>75.945999999999998</v>
      </c>
      <c r="CA26" s="13">
        <f t="shared" si="39"/>
        <v>21.142979995226831</v>
      </c>
      <c r="CB26" s="20">
        <f t="shared" si="10"/>
        <v>169.09664015835338</v>
      </c>
      <c r="CC26" s="59">
        <f t="shared" si="11"/>
        <v>462.42997349168672</v>
      </c>
      <c r="CD26" s="59">
        <f ca="1">AVERAGE(OFFSET($CC$3,0,0,'Données projet'!$E$12+1,1))-AVERAGE(OFFSET($H$3,0,0,'Données projet'!$E$12+1,1))</f>
        <v>247.30892363953825</v>
      </c>
      <c r="CE26" s="59">
        <f t="shared" si="40"/>
        <v>248.38414731596578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0.49079073497947784</v>
      </c>
      <c r="CM26" s="21">
        <f>EXP(-LN(2)/2)*CM25+(1-EXP(-LN(2)/2))/(LN(2)/2)*CG26*CJ26*VLOOKUP('Données projet'!$B$12,Paramètres!$A$1:$I$89,3,0)*0.475*44/12</f>
        <v>0.35907319725353593</v>
      </c>
      <c r="CN26" s="22">
        <f t="shared" si="12"/>
        <v>0.84986393223301371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157</v>
      </c>
      <c r="L27" s="12">
        <f>VLOOKUP(A27,'Données projet'!$A$35:$I$55,9,0)</f>
        <v>15</v>
      </c>
      <c r="M27" s="12">
        <f t="array" ref="M27">INDEX(L:L,MIN(IF(ISNUMBER(L27:L223),ROW(L27:L223),"")))</f>
        <v>15</v>
      </c>
      <c r="N27" s="13">
        <f>IF('Données projet'!$A$36&gt;35,N26+M27-V26,IF(A27&lt;'Données projet'!$A$36,$K$205^A27,IF(A27='Données projet'!$A$36,'Données projet'!$B$36,N26+M27-V26)))</f>
        <v>157</v>
      </c>
      <c r="O27" s="13">
        <f>N27*VLOOKUP('Données projet'!$B$9,Paramètres!$A$1:$I$89,3,0)*VLOOKUP('Données projet'!$B$9,Paramètres!$A$1:$I$89,5,0)</f>
        <v>93.885999999999996</v>
      </c>
      <c r="P27" s="13">
        <f t="shared" si="33"/>
        <v>25.500116461916402</v>
      </c>
      <c r="Q27" s="20">
        <f t="shared" si="2"/>
        <v>207.9308195045044</v>
      </c>
      <c r="R27" s="59">
        <f t="shared" si="0"/>
        <v>501.26415283783774</v>
      </c>
      <c r="S27" s="59">
        <f ca="1">AVERAGE(OFFSET($R$3,0,0,'Données projet'!$E$9+1,1))-AVERAGE(OFFSET($H$3,0,0,'Données projet'!$E$9+1,1))</f>
        <v>191.77102466144095</v>
      </c>
      <c r="T27" s="59">
        <f t="shared" si="34"/>
        <v>205.57161411620217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31</v>
      </c>
      <c r="W27" s="16">
        <f>IF(ISNA(VLOOKUP(A27,'Données projet'!$A$35:$I$55,5,0)),0%,VLOOKUP(A27,'Données projet'!$A$35:$I$55,5,0)*VLOOKUP('Données projet'!$B$9,Paramètres!$A$1:$I$89,7,0))</f>
        <v>9.0000000000000011E-2</v>
      </c>
      <c r="X27" s="16">
        <f>IF(ISNA(VLOOKUP(A27,'Données projet'!$A$35:$I$55,6,0)),0%,VLOOKUP(A27,'Données projet'!$A$35:$I$55,6,0)*VLOOKUP('Données projet'!$B$9,Paramètres!$A$1:$I$89,7,0))</f>
        <v>0.18000000000000002</v>
      </c>
      <c r="Y27" s="16">
        <f>IF(ISNA(VLOOKUP(A27,'Données projet'!$A$35:$I$55,7,0)),0%,VLOOKUP(A27,'Données projet'!$A$35:$I$55,7,0))</f>
        <v>0.4</v>
      </c>
      <c r="Z27" s="21">
        <f>EXP(-LN(2)/35)*Z26+(1-EXP(-LN(2)/35))/(LN(2)/35)*V27*W27*VLOOKUP('Données projet'!$B$9,Paramètres!$A$1:$I$89,3,0)*0.475*44/12</f>
        <v>2.9388065789871067</v>
      </c>
      <c r="AA27" s="21">
        <f>EXP(-LN(2)/25)*AA26+(1-EXP(-LN(2)/25))/(LN(2)/25)*Calculateur!V27*Calculateur!X27*VLOOKUP('Données projet'!$B$9,Paramètres!$A$1:$I$89,3,0)*0.475*44/12</f>
        <v>9.6960373841268126</v>
      </c>
      <c r="AB27" s="21">
        <f>EXP(-LN(2)/2)*AB26+(1-EXP(-LN(2)/2))/(LN(2)/2)*V27*Y27*VLOOKUP('Données projet'!$B$9,Paramètres!$A$1:$I$89,3,0)*0.475*44/12</f>
        <v>10.388868210472685</v>
      </c>
      <c r="AC27" s="22">
        <f t="shared" si="3"/>
        <v>23.023712173586603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</v>
      </c>
      <c r="AI27" s="13">
        <f>IF('Données projet'!$A$62&gt;35,AI26+AH27-AQ26,IF(A27&lt;'Données projet'!$A$62,$AF$205^A27,IF(A27='Données projet'!$A$62,'Données projet'!$B$62,AI26+AH27-AQ26)))</f>
        <v>140</v>
      </c>
      <c r="AJ27" s="13">
        <f>AI27*VLOOKUP('Données projet'!$B$10,Paramètres!$A$1:$I$89,3,0)*VLOOKUP('Données projet'!$B$10,Paramètres!$A$1:$I$89,5,0)</f>
        <v>83.720000000000013</v>
      </c>
      <c r="AK27" s="13">
        <f t="shared" si="35"/>
        <v>23.044323503842598</v>
      </c>
      <c r="AL27" s="20">
        <f t="shared" si="4"/>
        <v>185.9478634358592</v>
      </c>
      <c r="AM27" s="59">
        <f t="shared" si="5"/>
        <v>479.28119676919255</v>
      </c>
      <c r="AN27" s="59">
        <f ca="1">AVERAGE(OFFSET($AM$3,0,0,'Données projet'!$E$10+1,1))-AVERAGE(OFFSET($H$3,0,0,'Données projet'!$E$10+1,1))</f>
        <v>247.30892363953825</v>
      </c>
      <c r="AO27" s="59">
        <f t="shared" si="36"/>
        <v>248.38414731596578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0.47737003652190096</v>
      </c>
      <c r="AW27" s="21">
        <f>EXP(-LN(2)/2)*AW26+(1-EXP(-LN(2)/2))/(LN(2)/2)*AQ27*AT27*VLOOKUP('Données projet'!$B$10,Paramètres!$A$1:$I$89,3,0)*0.475*44/12</f>
        <v>0.25390309272031009</v>
      </c>
      <c r="AX27" s="21">
        <f t="shared" si="6"/>
        <v>0.731273129242211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21.1</v>
      </c>
      <c r="BD27" s="12">
        <f>IF('Données projet'!$A$88&gt;35,BD26+BC27-BL26,IF(A27&lt;'Données projet'!$A$88,$BA$205^A27,IF(A27='Données projet'!$A$88,'Données projet'!$B$88,BD26+BC27-BL26)))</f>
        <v>187.39999999999998</v>
      </c>
      <c r="BE27" s="13">
        <f>BD27*VLOOKUP('Données projet'!$B$11,Paramètres!$A$1:$I$89,3,0)*VLOOKUP('Données projet'!$B$11,Paramètres!$A$1:$I$89,5,0)</f>
        <v>75.522199999999998</v>
      </c>
      <c r="BF27" s="13">
        <f t="shared" si="37"/>
        <v>21.038695613393742</v>
      </c>
      <c r="BG27" s="20">
        <f t="shared" si="7"/>
        <v>168.17689319332743</v>
      </c>
      <c r="BH27" s="59">
        <f t="shared" si="8"/>
        <v>461.51022652666074</v>
      </c>
      <c r="BI27" s="59">
        <f ca="1">AVERAGE(OFFSET($BH$3,0,0,'Données projet'!$E$11+1,1))-AVERAGE(OFFSET($H$3,0,0,'Données projet'!$E$11+1,1))</f>
        <v>265.97106059040101</v>
      </c>
      <c r="BJ27" s="59">
        <f t="shared" si="38"/>
        <v>240.18718869578237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13</v>
      </c>
      <c r="BY27" s="12">
        <f>IF('Données projet'!$A$114&gt;35,BY26+BX27-CG26,IF(A27&lt;'Données projet'!$A$114,$BV$205^A27,IF(A27='Données projet'!$A$114,'Données projet'!$B$114,BY26+BX27-CG26)))</f>
        <v>140</v>
      </c>
      <c r="BZ27" s="13">
        <f>BY27*VLOOKUP('Données projet'!$B$12,Paramètres!$A$1:$I$89,3,0)*VLOOKUP('Données projet'!$B$12,Paramètres!$A$1:$I$89,5,0)</f>
        <v>83.720000000000013</v>
      </c>
      <c r="CA27" s="13">
        <f t="shared" si="39"/>
        <v>23.044323503842598</v>
      </c>
      <c r="CB27" s="20">
        <f t="shared" si="10"/>
        <v>185.9478634358592</v>
      </c>
      <c r="CC27" s="59">
        <f t="shared" si="11"/>
        <v>479.28119676919255</v>
      </c>
      <c r="CD27" s="59">
        <f ca="1">AVERAGE(OFFSET($CC$3,0,0,'Données projet'!$E$12+1,1))-AVERAGE(OFFSET($H$3,0,0,'Données projet'!$E$12+1,1))</f>
        <v>247.30892363953825</v>
      </c>
      <c r="CE27" s="59">
        <f t="shared" si="40"/>
        <v>248.38414731596578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0.47737003652190096</v>
      </c>
      <c r="CM27" s="21">
        <f>EXP(-LN(2)/2)*CM26+(1-EXP(-LN(2)/2))/(LN(2)/2)*CG27*CJ27*VLOOKUP('Données projet'!$B$12,Paramètres!$A$1:$I$89,3,0)*0.475*44/12</f>
        <v>0.25390309272031009</v>
      </c>
      <c r="CN27" s="22">
        <f t="shared" si="12"/>
        <v>0.731273129242211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</v>
      </c>
      <c r="N28" s="13">
        <f>IF('Données projet'!$A$36&gt;35,N27+M28-V27,IF(A28&lt;'Données projet'!$A$36,$K$205^A28,IF(A28='Données projet'!$A$36,'Données projet'!$B$36,N27+M28-V27)))</f>
        <v>142</v>
      </c>
      <c r="O28" s="13">
        <f>N28*VLOOKUP('Données projet'!$B$9,Paramètres!$A$1:$I$89,3,0)*VLOOKUP('Données projet'!$B$9,Paramètres!$A$1:$I$89,5,0)</f>
        <v>84.916000000000011</v>
      </c>
      <c r="P28" s="13">
        <f t="shared" si="33"/>
        <v>23.33496813320572</v>
      </c>
      <c r="Q28" s="20">
        <f t="shared" si="2"/>
        <v>188.53710283199996</v>
      </c>
      <c r="R28" s="59">
        <f t="shared" si="0"/>
        <v>481.87043616533327</v>
      </c>
      <c r="S28" s="59">
        <f ca="1">AVERAGE(OFFSET($R$3,0,0,'Données projet'!$E$9+1,1))-AVERAGE(OFFSET($H$3,0,0,'Données projet'!$E$9+1,1))</f>
        <v>191.77102466144095</v>
      </c>
      <c r="T28" s="59">
        <f t="shared" si="34"/>
        <v>205.57161411620217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2.8811783744681887</v>
      </c>
      <c r="AA28" s="21">
        <f>EXP(-LN(2)/25)*AA27+(1-EXP(-LN(2)/25))/(LN(2)/25)*Calculateur!V28*Calculateur!X28*VLOOKUP('Données projet'!$B$9,Paramètres!$A$1:$I$89,3,0)*0.475*44/12</f>
        <v>9.4308987319654189</v>
      </c>
      <c r="AB28" s="21">
        <f>EXP(-LN(2)/2)*AB27+(1-EXP(-LN(2)/2))/(LN(2)/2)*V28*Y28*VLOOKUP('Données projet'!$B$9,Paramètres!$A$1:$I$89,3,0)*0.475*44/12</f>
        <v>7.3460391604785888</v>
      </c>
      <c r="AC28" s="22">
        <f t="shared" si="3"/>
        <v>19.658116266912195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13</v>
      </c>
      <c r="AI28" s="13">
        <f>IF('Données projet'!$A$62&gt;35,AI27+AH28-AQ27,IF(A28&lt;'Données projet'!$A$62,$AF$205^A28,IF(A28='Données projet'!$A$62,'Données projet'!$B$62,AI27+AH28-AQ27)))</f>
        <v>153</v>
      </c>
      <c r="AJ28" s="13">
        <f>AI28*VLOOKUP('Données projet'!$B$10,Paramètres!$A$1:$I$89,3,0)*VLOOKUP('Données projet'!$B$10,Paramètres!$A$1:$I$89,5,0)</f>
        <v>91.494000000000014</v>
      </c>
      <c r="AK28" s="13">
        <f t="shared" si="35"/>
        <v>24.925195840896542</v>
      </c>
      <c r="AL28" s="20">
        <f t="shared" si="4"/>
        <v>202.76343275622813</v>
      </c>
      <c r="AM28" s="59">
        <f t="shared" si="5"/>
        <v>496.09676608956147</v>
      </c>
      <c r="AN28" s="59">
        <f ca="1">AVERAGE(OFFSET($AM$3,0,0,'Données projet'!$E$10+1,1))-AVERAGE(OFFSET($H$3,0,0,'Données projet'!$E$10+1,1))</f>
        <v>247.30892363953825</v>
      </c>
      <c r="AO28" s="59">
        <f t="shared" si="36"/>
        <v>248.38414731596578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0.4643163277694104</v>
      </c>
      <c r="AW28" s="21">
        <f>EXP(-LN(2)/2)*AW27+(1-EXP(-LN(2)/2))/(LN(2)/2)*AQ28*AT28*VLOOKUP('Données projet'!$B$10,Paramètres!$A$1:$I$89,3,0)*0.475*44/12</f>
        <v>0.17953659862676799</v>
      </c>
      <c r="AX28" s="21">
        <f t="shared" si="6"/>
        <v>0.64385292639617842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21.1</v>
      </c>
      <c r="BD28" s="12">
        <f>IF('Données projet'!$A$88&gt;35,BD27+BC28-BL27,IF(A28&lt;'Données projet'!$A$88,$BA$205^A28,IF(A28='Données projet'!$A$88,'Données projet'!$B$88,BD27+BC28-BL27)))</f>
        <v>208.49999999999997</v>
      </c>
      <c r="BE28" s="13">
        <f>BD28*VLOOKUP('Données projet'!$B$11,Paramètres!$A$1:$I$89,3,0)*VLOOKUP('Données projet'!$B$11,Paramètres!$A$1:$I$89,5,0)</f>
        <v>84.025499999999994</v>
      </c>
      <c r="BF28" s="13">
        <f t="shared" si="37"/>
        <v>23.118609943973475</v>
      </c>
      <c r="BG28" s="20">
        <f t="shared" si="7"/>
        <v>186.60932481908711</v>
      </c>
      <c r="BH28" s="59">
        <f t="shared" si="8"/>
        <v>479.94265815242045</v>
      </c>
      <c r="BI28" s="59">
        <f ca="1">AVERAGE(OFFSET($BH$3,0,0,'Données projet'!$E$11+1,1))-AVERAGE(OFFSET($H$3,0,0,'Données projet'!$E$11+1,1))</f>
        <v>265.97106059040101</v>
      </c>
      <c r="BJ28" s="59">
        <f t="shared" si="38"/>
        <v>240.18718869578237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13</v>
      </c>
      <c r="BY28" s="12">
        <f>IF('Données projet'!$A$114&gt;35,BY27+BX28-CG27,IF(A28&lt;'Données projet'!$A$114,$BV$205^A28,IF(A28='Données projet'!$A$114,'Données projet'!$B$114,BY27+BX28-CG27)))</f>
        <v>153</v>
      </c>
      <c r="BZ28" s="13">
        <f>BY28*VLOOKUP('Données projet'!$B$12,Paramètres!$A$1:$I$89,3,0)*VLOOKUP('Données projet'!$B$12,Paramètres!$A$1:$I$89,5,0)</f>
        <v>91.494000000000014</v>
      </c>
      <c r="CA28" s="13">
        <f t="shared" si="39"/>
        <v>24.925195840896542</v>
      </c>
      <c r="CB28" s="20">
        <f t="shared" si="10"/>
        <v>202.76343275622813</v>
      </c>
      <c r="CC28" s="59">
        <f t="shared" si="11"/>
        <v>496.09676608956147</v>
      </c>
      <c r="CD28" s="59">
        <f ca="1">AVERAGE(OFFSET($CC$3,0,0,'Données projet'!$E$12+1,1))-AVERAGE(OFFSET($H$3,0,0,'Données projet'!$E$12+1,1))</f>
        <v>247.30892363953825</v>
      </c>
      <c r="CE28" s="59">
        <f t="shared" si="40"/>
        <v>248.38414731596578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0.4643163277694104</v>
      </c>
      <c r="CM28" s="21">
        <f>EXP(-LN(2)/2)*CM27+(1-EXP(-LN(2)/2))/(LN(2)/2)*CG28*CJ28*VLOOKUP('Données projet'!$B$12,Paramètres!$A$1:$I$89,3,0)*0.475*44/12</f>
        <v>0.17953659862676799</v>
      </c>
      <c r="CN28" s="22">
        <f t="shared" si="12"/>
        <v>0.64385292639617842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</v>
      </c>
      <c r="N29" s="13">
        <f>IF('Données projet'!$A$36&gt;35,N28+M29-V28,IF(A29&lt;'Données projet'!$A$36,$K$205^A29,IF(A29='Données projet'!$A$36,'Données projet'!$B$36,N28+M29-V28)))</f>
        <v>158</v>
      </c>
      <c r="O29" s="13">
        <f>N29*VLOOKUP('Données projet'!$B$9,Paramètres!$A$1:$I$89,3,0)*VLOOKUP('Données projet'!$B$9,Paramètres!$A$1:$I$89,5,0)</f>
        <v>94.484000000000009</v>
      </c>
      <c r="P29" s="13">
        <f t="shared" si="33"/>
        <v>25.643578691511802</v>
      </c>
      <c r="Q29" s="20">
        <f t="shared" si="2"/>
        <v>209.22219955438308</v>
      </c>
      <c r="R29" s="59">
        <f t="shared" si="0"/>
        <v>502.55553288771637</v>
      </c>
      <c r="S29" s="59">
        <f ca="1">AVERAGE(OFFSET($R$3,0,0,'Données projet'!$E$9+1,1))-AVERAGE(OFFSET($H$3,0,0,'Données projet'!$E$9+1,1))</f>
        <v>191.77102466144095</v>
      </c>
      <c r="T29" s="59">
        <f t="shared" si="34"/>
        <v>205.57161411620217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2.8246802238901525</v>
      </c>
      <c r="AA29" s="21">
        <f>EXP(-LN(2)/25)*AA28+(1-EXP(-LN(2)/25))/(LN(2)/25)*Calculateur!V29*Calculateur!X29*VLOOKUP('Données projet'!$B$9,Paramètres!$A$1:$I$89,3,0)*0.475*44/12</f>
        <v>9.1730103101904152</v>
      </c>
      <c r="AB29" s="21">
        <f>EXP(-LN(2)/2)*AB28+(1-EXP(-LN(2)/2))/(LN(2)/2)*V29*Y29*VLOOKUP('Données projet'!$B$9,Paramètres!$A$1:$I$89,3,0)*0.475*44/12</f>
        <v>5.1944341052363434</v>
      </c>
      <c r="AC29" s="22">
        <f t="shared" si="3"/>
        <v>17.192124639316912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</v>
      </c>
      <c r="AI29" s="13">
        <f>IF('Données projet'!$A$62&gt;35,AI28+AH29-AQ28,IF(A29&lt;'Données projet'!$A$62,$AF$205^A29,IF(A29='Données projet'!$A$62,'Données projet'!$B$62,AI28+AH29-AQ28)))</f>
        <v>166</v>
      </c>
      <c r="AJ29" s="13">
        <f>AI29*VLOOKUP('Données projet'!$B$10,Paramètres!$A$1:$I$89,3,0)*VLOOKUP('Données projet'!$B$10,Paramètres!$A$1:$I$89,5,0)</f>
        <v>99.268000000000001</v>
      </c>
      <c r="AK29" s="13">
        <f t="shared" si="35"/>
        <v>26.78753414535981</v>
      </c>
      <c r="AL29" s="20">
        <f t="shared" si="4"/>
        <v>219.54672196983498</v>
      </c>
      <c r="AM29" s="59">
        <f t="shared" si="5"/>
        <v>512.88005530316832</v>
      </c>
      <c r="AN29" s="59">
        <f ca="1">AVERAGE(OFFSET($AM$3,0,0,'Données projet'!$E$10+1,1))-AVERAGE(OFFSET($H$3,0,0,'Données projet'!$E$10+1,1))</f>
        <v>247.30892363953825</v>
      </c>
      <c r="AO29" s="59">
        <f t="shared" si="36"/>
        <v>248.38414731596578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0.45161957336922143</v>
      </c>
      <c r="AW29" s="21">
        <f>EXP(-LN(2)/2)*AW28+(1-EXP(-LN(2)/2))/(LN(2)/2)*AQ29*AT29*VLOOKUP('Données projet'!$B$10,Paramètres!$A$1:$I$89,3,0)*0.475*44/12</f>
        <v>0.12695154636015504</v>
      </c>
      <c r="AX29" s="21">
        <f t="shared" si="6"/>
        <v>0.57857111972937647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21.1</v>
      </c>
      <c r="BD29" s="12">
        <f>IF('Données projet'!$A$88&gt;35,BD28+BC29-BL28,IF(A29&lt;'Données projet'!$A$88,$BA$205^A29,IF(A29='Données projet'!$A$88,'Données projet'!$B$88,BD28+BC29-BL28)))</f>
        <v>229.59999999999997</v>
      </c>
      <c r="BE29" s="13">
        <f>BD29*VLOOKUP('Données projet'!$B$11,Paramètres!$A$1:$I$89,3,0)*VLOOKUP('Données projet'!$B$11,Paramètres!$A$1:$I$89,5,0)</f>
        <v>92.52879999999999</v>
      </c>
      <c r="BF29" s="13">
        <f t="shared" si="37"/>
        <v>25.174123596137743</v>
      </c>
      <c r="BG29" s="20">
        <f t="shared" si="7"/>
        <v>204.99925859660652</v>
      </c>
      <c r="BH29" s="59">
        <f t="shared" si="8"/>
        <v>498.33259192993984</v>
      </c>
      <c r="BI29" s="59">
        <f ca="1">AVERAGE(OFFSET($BH$3,0,0,'Données projet'!$E$11+1,1))-AVERAGE(OFFSET($H$3,0,0,'Données projet'!$E$11+1,1))</f>
        <v>265.97106059040101</v>
      </c>
      <c r="BJ29" s="59">
        <f t="shared" si="38"/>
        <v>240.18718869578237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13</v>
      </c>
      <c r="BY29" s="12">
        <f>IF('Données projet'!$A$114&gt;35,BY28+BX29-CG28,IF(A29&lt;'Données projet'!$A$114,$BV$205^A29,IF(A29='Données projet'!$A$114,'Données projet'!$B$114,BY28+BX29-CG28)))</f>
        <v>166</v>
      </c>
      <c r="BZ29" s="13">
        <f>BY29*VLOOKUP('Données projet'!$B$12,Paramètres!$A$1:$I$89,3,0)*VLOOKUP('Données projet'!$B$12,Paramètres!$A$1:$I$89,5,0)</f>
        <v>99.268000000000001</v>
      </c>
      <c r="CA29" s="13">
        <f t="shared" si="39"/>
        <v>26.78753414535981</v>
      </c>
      <c r="CB29" s="20">
        <f t="shared" si="10"/>
        <v>219.54672196983498</v>
      </c>
      <c r="CC29" s="59">
        <f t="shared" si="11"/>
        <v>512.88005530316832</v>
      </c>
      <c r="CD29" s="59">
        <f ca="1">AVERAGE(OFFSET($CC$3,0,0,'Données projet'!$E$12+1,1))-AVERAGE(OFFSET($H$3,0,0,'Données projet'!$E$12+1,1))</f>
        <v>247.30892363953825</v>
      </c>
      <c r="CE29" s="59">
        <f t="shared" si="40"/>
        <v>248.38414731596578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0.45161957336922143</v>
      </c>
      <c r="CM29" s="21">
        <f>EXP(-LN(2)/2)*CM28+(1-EXP(-LN(2)/2))/(LN(2)/2)*CG29*CJ29*VLOOKUP('Données projet'!$B$12,Paramètres!$A$1:$I$89,3,0)*0.475*44/12</f>
        <v>0.12695154636015504</v>
      </c>
      <c r="CN29" s="22">
        <f t="shared" si="12"/>
        <v>0.57857111972937647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</v>
      </c>
      <c r="N30" s="13">
        <f>IF('Données projet'!$A$36&gt;35,N29+M30-V29,IF(A30&lt;'Données projet'!$A$36,$K$205^A30,IF(A30='Données projet'!$A$36,'Données projet'!$B$36,N29+M30-V29)))</f>
        <v>174</v>
      </c>
      <c r="O30" s="13">
        <f>N30*VLOOKUP('Données projet'!$B$9,Paramètres!$A$1:$I$89,3,0)*VLOOKUP('Données projet'!$B$9,Paramètres!$A$1:$I$89,5,0)</f>
        <v>104.05200000000001</v>
      </c>
      <c r="P30" s="13">
        <f t="shared" si="33"/>
        <v>27.925087771564417</v>
      </c>
      <c r="Q30" s="20">
        <f t="shared" si="2"/>
        <v>229.86009453547467</v>
      </c>
      <c r="R30" s="59">
        <f t="shared" si="0"/>
        <v>523.19342786880793</v>
      </c>
      <c r="S30" s="59">
        <f ca="1">AVERAGE(OFFSET($R$3,0,0,'Données projet'!$E$9+1,1))-AVERAGE(OFFSET($H$3,0,0,'Données projet'!$E$9+1,1))</f>
        <v>191.77102466144095</v>
      </c>
      <c r="T30" s="59">
        <f t="shared" si="34"/>
        <v>205.57161411620217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2.7692899675844824</v>
      </c>
      <c r="AA30" s="21">
        <f>EXP(-LN(2)/25)*AA29+(1-EXP(-LN(2)/25))/(LN(2)/25)*Calculateur!V30*Calculateur!X30*VLOOKUP('Données projet'!$B$9,Paramètres!$A$1:$I$89,3,0)*0.475*44/12</f>
        <v>8.9221738608706112</v>
      </c>
      <c r="AB30" s="21">
        <f>EXP(-LN(2)/2)*AB29+(1-EXP(-LN(2)/2))/(LN(2)/2)*V30*Y30*VLOOKUP('Données projet'!$B$9,Paramètres!$A$1:$I$89,3,0)*0.475*44/12</f>
        <v>3.6730195802392953</v>
      </c>
      <c r="AC30" s="22">
        <f t="shared" si="3"/>
        <v>15.364483408694388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</v>
      </c>
      <c r="AI30" s="13">
        <f>IF('Données projet'!$A$62&gt;35,AI29+AH30-AQ29,IF(A30&lt;'Données projet'!$A$62,$AF$205^A30,IF(A30='Données projet'!$A$62,'Données projet'!$B$62,AI29+AH30-AQ29)))</f>
        <v>179</v>
      </c>
      <c r="AJ30" s="13">
        <f>AI30*VLOOKUP('Données projet'!$B$10,Paramètres!$A$1:$I$89,3,0)*VLOOKUP('Données projet'!$B$10,Paramètres!$A$1:$I$89,5,0)</f>
        <v>107.042</v>
      </c>
      <c r="AK30" s="13">
        <f t="shared" si="35"/>
        <v>28.632954900548082</v>
      </c>
      <c r="AL30" s="20">
        <f t="shared" si="4"/>
        <v>236.30054645178791</v>
      </c>
      <c r="AM30" s="59">
        <f t="shared" si="5"/>
        <v>529.63387978512128</v>
      </c>
      <c r="AN30" s="59">
        <f ca="1">AVERAGE(OFFSET($AM$3,0,0,'Données projet'!$E$10+1,1))-AVERAGE(OFFSET($H$3,0,0,'Données projet'!$E$10+1,1))</f>
        <v>247.30892363953825</v>
      </c>
      <c r="AO30" s="59">
        <f t="shared" si="36"/>
        <v>248.38414731596578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0.43927001238579888</v>
      </c>
      <c r="AW30" s="21">
        <f>EXP(-LN(2)/2)*AW29+(1-EXP(-LN(2)/2))/(LN(2)/2)*AQ30*AT30*VLOOKUP('Données projet'!$B$10,Paramètres!$A$1:$I$89,3,0)*0.475*44/12</f>
        <v>8.9768299313383995E-2</v>
      </c>
      <c r="AX30" s="21">
        <f t="shared" si="6"/>
        <v>0.52903831169918292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21.1</v>
      </c>
      <c r="BD30" s="12">
        <f>IF('Données projet'!$A$88&gt;35,BD29+BC30-BL29,IF(A30&lt;'Données projet'!$A$88,$BA$205^A30,IF(A30='Données projet'!$A$88,'Données projet'!$B$88,BD29+BC30-BL29)))</f>
        <v>250.69999999999996</v>
      </c>
      <c r="BE30" s="13">
        <f>BD30*VLOOKUP('Données projet'!$B$11,Paramètres!$A$1:$I$89,3,0)*VLOOKUP('Données projet'!$B$11,Paramètres!$A$1:$I$89,5,0)</f>
        <v>101.03209999999999</v>
      </c>
      <c r="BF30" s="13">
        <f t="shared" si="37"/>
        <v>27.207734007340957</v>
      </c>
      <c r="BG30" s="20">
        <f t="shared" si="7"/>
        <v>223.3510442294521</v>
      </c>
      <c r="BH30" s="59">
        <f t="shared" si="8"/>
        <v>516.68437756278536</v>
      </c>
      <c r="BI30" s="59">
        <f ca="1">AVERAGE(OFFSET($BH$3,0,0,'Données projet'!$E$11+1,1))-AVERAGE(OFFSET($H$3,0,0,'Données projet'!$E$11+1,1))</f>
        <v>265.97106059040101</v>
      </c>
      <c r="BJ30" s="59">
        <f t="shared" si="38"/>
        <v>240.18718869578237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13</v>
      </c>
      <c r="BY30" s="12">
        <f>IF('Données projet'!$A$114&gt;35,BY29+BX30-CG29,IF(A30&lt;'Données projet'!$A$114,$BV$205^A30,IF(A30='Données projet'!$A$114,'Données projet'!$B$114,BY29+BX30-CG29)))</f>
        <v>179</v>
      </c>
      <c r="BZ30" s="13">
        <f>BY30*VLOOKUP('Données projet'!$B$12,Paramètres!$A$1:$I$89,3,0)*VLOOKUP('Données projet'!$B$12,Paramètres!$A$1:$I$89,5,0)</f>
        <v>107.042</v>
      </c>
      <c r="CA30" s="13">
        <f t="shared" si="39"/>
        <v>28.632954900548082</v>
      </c>
      <c r="CB30" s="20">
        <f t="shared" si="10"/>
        <v>236.30054645178791</v>
      </c>
      <c r="CC30" s="59">
        <f t="shared" si="11"/>
        <v>529.63387978512128</v>
      </c>
      <c r="CD30" s="59">
        <f ca="1">AVERAGE(OFFSET($CC$3,0,0,'Données projet'!$E$12+1,1))-AVERAGE(OFFSET($H$3,0,0,'Données projet'!$E$12+1,1))</f>
        <v>247.30892363953825</v>
      </c>
      <c r="CE30" s="59">
        <f t="shared" si="40"/>
        <v>248.38414731596578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0.43927001238579888</v>
      </c>
      <c r="CM30" s="21">
        <f>EXP(-LN(2)/2)*CM29+(1-EXP(-LN(2)/2))/(LN(2)/2)*CG30*CJ30*VLOOKUP('Données projet'!$B$12,Paramètres!$A$1:$I$89,3,0)*0.475*44/12</f>
        <v>8.9768299313383995E-2</v>
      </c>
      <c r="CN30" s="22">
        <f t="shared" si="12"/>
        <v>0.52903831169918292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190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190</v>
      </c>
      <c r="O31" s="13">
        <f>N31*VLOOKUP('Données projet'!$B$9,Paramètres!$A$1:$I$89,3,0)*VLOOKUP('Données projet'!$B$9,Paramètres!$A$1:$I$89,5,0)</f>
        <v>113.62</v>
      </c>
      <c r="P31" s="13">
        <f t="shared" si="33"/>
        <v>30.182270904187739</v>
      </c>
      <c r="Q31" s="20">
        <f t="shared" si="2"/>
        <v>250.45562182479364</v>
      </c>
      <c r="R31" s="59">
        <f t="shared" si="0"/>
        <v>543.78895515812701</v>
      </c>
      <c r="S31" s="59">
        <f ca="1">AVERAGE(OFFSET($R$3,0,0,'Données projet'!$E$9+1,1))-AVERAGE(OFFSET($H$3,0,0,'Données projet'!$E$9+1,1))</f>
        <v>191.77102466144095</v>
      </c>
      <c r="T31" s="59">
        <f t="shared" si="34"/>
        <v>205.57161411620217</v>
      </c>
      <c r="U31" s="15">
        <f>IF(ISNA(VLOOKUP(A31,'Données projet'!$A$35:$I$55,3,0)),0,VLOOKUP(A31,'Données projet'!$A$35:$I$55,3,0))</f>
        <v>4</v>
      </c>
      <c r="V31" s="15">
        <f>IF(ISNA(VLOOKUP(A31,'Données projet'!$A$35:$I$55,4,0)),0,VLOOKUP(A31,'Données projet'!$A$35:$I$55,4,0))</f>
        <v>35</v>
      </c>
      <c r="W31" s="16">
        <f>IF(ISNA(VLOOKUP(A31,'Données projet'!$A$35:$I$55,5,0)),0%,VLOOKUP(A31,'Données projet'!$A$35:$I$55,5,0)*VLOOKUP('Données projet'!$B$9,Paramètres!$A$1:$I$89,7,0))</f>
        <v>0.13500000000000001</v>
      </c>
      <c r="X31" s="16">
        <f>IF(ISNA(VLOOKUP(A31,'Données projet'!$A$35:$I$55,6,0)),0%,VLOOKUP(A31,'Données projet'!$A$35:$I$55,6,0)*VLOOKUP('Données projet'!$B$9,Paramètres!$A$1:$I$89,7,0))</f>
        <v>0.1575</v>
      </c>
      <c r="Y31" s="16">
        <f>IF(ISNA(VLOOKUP(A31,'Données projet'!$A$35:$I$55,7,0)),0%,VLOOKUP(A31,'Données projet'!$A$35:$I$55,7,0))</f>
        <v>0.35</v>
      </c>
      <c r="Z31" s="21">
        <f>EXP(-LN(2)/35)*Z30+(1-EXP(-LN(2)/35))/(LN(2)/35)*V31*W31*VLOOKUP('Données projet'!$B$9,Paramètres!$A$1:$I$89,3,0)*0.475*44/12</f>
        <v>6.4632600774874396</v>
      </c>
      <c r="AA31" s="21">
        <f>EXP(-LN(2)/25)*AA30+(1-EXP(-LN(2)/25))/(LN(2)/25)*Calculateur!V31*Calculateur!X31*VLOOKUP('Données projet'!$B$9,Paramètres!$A$1:$I$89,3,0)*0.475*44/12</f>
        <v>13.033964996355422</v>
      </c>
      <c r="AB31" s="21">
        <f>EXP(-LN(2)/2)*AB30+(1-EXP(-LN(2)/2))/(LN(2)/2)*V31*Y31*VLOOKUP('Données projet'!$B$9,Paramètres!$A$1:$I$89,3,0)*0.475*44/12</f>
        <v>10.891384748148297</v>
      </c>
      <c r="AC31" s="22">
        <f t="shared" si="3"/>
        <v>30.38860982199116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</v>
      </c>
      <c r="AI31" s="13">
        <f>IF('Données projet'!$A$62&gt;35,AI30+AH31-AQ30,IF(A31&lt;'Données projet'!$A$62,$AF$205^A31,IF(A31='Données projet'!$A$62,'Données projet'!$B$62,AI30+AH31-AQ30)))</f>
        <v>192</v>
      </c>
      <c r="AJ31" s="13">
        <f>AI31*VLOOKUP('Données projet'!$B$10,Paramètres!$A$1:$I$89,3,0)*VLOOKUP('Données projet'!$B$10,Paramètres!$A$1:$I$89,5,0)</f>
        <v>114.81600000000002</v>
      </c>
      <c r="AK31" s="13">
        <f t="shared" si="35"/>
        <v>30.462826482209831</v>
      </c>
      <c r="AL31" s="20">
        <f t="shared" si="4"/>
        <v>253.02728945651543</v>
      </c>
      <c r="AM31" s="59">
        <f t="shared" si="5"/>
        <v>546.36062278984878</v>
      </c>
      <c r="AN31" s="59">
        <f ca="1">AVERAGE(OFFSET($AM$3,0,0,'Données projet'!$E$10+1,1))-AVERAGE(OFFSET($H$3,0,0,'Données projet'!$E$10+1,1))</f>
        <v>247.30892363953825</v>
      </c>
      <c r="AO31" s="59">
        <f t="shared" si="36"/>
        <v>248.38414731596578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0.42725815079690321</v>
      </c>
      <c r="AW31" s="21">
        <f>EXP(-LN(2)/2)*AW30+(1-EXP(-LN(2)/2))/(LN(2)/2)*AQ31*AT31*VLOOKUP('Données projet'!$B$10,Paramètres!$A$1:$I$89,3,0)*0.475*44/12</f>
        <v>6.3475773180077522E-2</v>
      </c>
      <c r="AX31" s="21">
        <f t="shared" si="6"/>
        <v>0.49073392397698073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21.1</v>
      </c>
      <c r="BD31" s="12">
        <f>IF('Données projet'!$A$88&gt;35,BD30+BC31-BL30,IF(A31&lt;'Données projet'!$A$88,$BA$205^A31,IF(A31='Données projet'!$A$88,'Données projet'!$B$88,BD30+BC31-BL30)))</f>
        <v>271.79999999999995</v>
      </c>
      <c r="BE31" s="13">
        <f>BD31*VLOOKUP('Données projet'!$B$11,Paramètres!$A$1:$I$89,3,0)*VLOOKUP('Données projet'!$B$11,Paramètres!$A$1:$I$89,5,0)</f>
        <v>109.53539999999998</v>
      </c>
      <c r="BF31" s="13">
        <f t="shared" si="37"/>
        <v>29.221494238614248</v>
      </c>
      <c r="BG31" s="20">
        <f t="shared" si="7"/>
        <v>241.66825746558641</v>
      </c>
      <c r="BH31" s="59">
        <f t="shared" si="8"/>
        <v>535.00159079891978</v>
      </c>
      <c r="BI31" s="59">
        <f ca="1">AVERAGE(OFFSET($BH$3,0,0,'Données projet'!$E$11+1,1))-AVERAGE(OFFSET($H$3,0,0,'Données projet'!$E$11+1,1))</f>
        <v>265.97106059040101</v>
      </c>
      <c r="BJ31" s="59">
        <f t="shared" si="38"/>
        <v>240.18718869578237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13</v>
      </c>
      <c r="BY31" s="12">
        <f>IF('Données projet'!$A$114&gt;35,BY30+BX31-CG30,IF(A31&lt;'Données projet'!$A$114,$BV$205^A31,IF(A31='Données projet'!$A$114,'Données projet'!$B$114,BY30+BX31-CG30)))</f>
        <v>192</v>
      </c>
      <c r="BZ31" s="13">
        <f>BY31*VLOOKUP('Données projet'!$B$12,Paramètres!$A$1:$I$89,3,0)*VLOOKUP('Données projet'!$B$12,Paramètres!$A$1:$I$89,5,0)</f>
        <v>114.81600000000002</v>
      </c>
      <c r="CA31" s="13">
        <f t="shared" si="39"/>
        <v>30.462826482209831</v>
      </c>
      <c r="CB31" s="20">
        <f t="shared" si="10"/>
        <v>253.02728945651543</v>
      </c>
      <c r="CC31" s="59">
        <f t="shared" si="11"/>
        <v>546.36062278984878</v>
      </c>
      <c r="CD31" s="59">
        <f ca="1">AVERAGE(OFFSET($CC$3,0,0,'Données projet'!$E$12+1,1))-AVERAGE(OFFSET($H$3,0,0,'Données projet'!$E$12+1,1))</f>
        <v>247.30892363953825</v>
      </c>
      <c r="CE31" s="59">
        <f t="shared" si="40"/>
        <v>248.38414731596578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0.42725815079690321</v>
      </c>
      <c r="CM31" s="21">
        <f>EXP(-LN(2)/2)*CM30+(1-EXP(-LN(2)/2))/(LN(2)/2)*CG31*CJ31*VLOOKUP('Données projet'!$B$12,Paramètres!$A$1:$I$89,3,0)*0.475*44/12</f>
        <v>6.3475773180077522E-2</v>
      </c>
      <c r="CN31" s="22">
        <f t="shared" si="12"/>
        <v>0.49073392397698073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14.833333333333334</v>
      </c>
      <c r="N32" s="13">
        <f>IF('Données projet'!$A$36&gt;35,N31+M32-V31,IF(A32&lt;'Données projet'!$A$36,$K$205^A32,IF(A32='Données projet'!$A$36,'Données projet'!$B$36,N31+M32-V31)))</f>
        <v>169.83333333333334</v>
      </c>
      <c r="O32" s="13">
        <f>N32*VLOOKUP('Données projet'!$B$9,Paramètres!$A$1:$I$89,3,0)*VLOOKUP('Données projet'!$B$9,Paramètres!$A$1:$I$89,5,0)</f>
        <v>101.56033333333333</v>
      </c>
      <c r="P32" s="13">
        <f t="shared" si="33"/>
        <v>27.333389821325063</v>
      </c>
      <c r="Q32" s="20">
        <f t="shared" si="2"/>
        <v>224.48990116103005</v>
      </c>
      <c r="R32" s="59">
        <f t="shared" si="0"/>
        <v>517.82323449436331</v>
      </c>
      <c r="S32" s="59">
        <f ca="1">AVERAGE(OFFSET($R$3,0,0,'Données projet'!$E$9+1,1))-AVERAGE(OFFSET($H$3,0,0,'Données projet'!$E$9+1,1))</f>
        <v>191.77102466144095</v>
      </c>
      <c r="T32" s="59">
        <f t="shared" si="34"/>
        <v>205.57161411620217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6.3365194895672987</v>
      </c>
      <c r="AA32" s="21">
        <f>EXP(-LN(2)/25)*AA31+(1-EXP(-LN(2)/25))/(LN(2)/25)*Calculateur!V32*Calculateur!X32*VLOOKUP('Données projet'!$B$9,Paramètres!$A$1:$I$89,3,0)*0.475*44/12</f>
        <v>12.677550538103654</v>
      </c>
      <c r="AB32" s="21">
        <f>EXP(-LN(2)/2)*AB31+(1-EXP(-LN(2)/2))/(LN(2)/2)*V32*Y32*VLOOKUP('Données projet'!$B$9,Paramètres!$A$1:$I$89,3,0)*0.475*44/12</f>
        <v>7.7013720119273996</v>
      </c>
      <c r="AC32" s="22">
        <f t="shared" si="3"/>
        <v>26.715442039598354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</v>
      </c>
      <c r="AI32" s="13">
        <f>IF('Données projet'!$A$62&gt;35,AI31+AH32-AQ31,IF(A32&lt;'Données projet'!$A$62,$AF$205^A32,IF(A32='Données projet'!$A$62,'Données projet'!$B$62,AI31+AH32-AQ31)))</f>
        <v>205</v>
      </c>
      <c r="AJ32" s="13">
        <f>AI32*VLOOKUP('Données projet'!$B$10,Paramètres!$A$1:$I$89,3,0)*VLOOKUP('Données projet'!$B$10,Paramètres!$A$1:$I$89,5,0)</f>
        <v>122.59</v>
      </c>
      <c r="AK32" s="13">
        <f t="shared" si="35"/>
        <v>32.278321478706822</v>
      </c>
      <c r="AL32" s="20">
        <f t="shared" si="4"/>
        <v>269.72899324208106</v>
      </c>
      <c r="AM32" s="59">
        <f t="shared" si="5"/>
        <v>563.06232657541432</v>
      </c>
      <c r="AN32" s="59">
        <f ca="1">AVERAGE(OFFSET($AM$3,0,0,'Données projet'!$E$10+1,1))-AVERAGE(OFFSET($H$3,0,0,'Données projet'!$E$10+1,1))</f>
        <v>247.30892363953825</v>
      </c>
      <c r="AO32" s="59">
        <f t="shared" si="36"/>
        <v>248.38414731596578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0.41557475419483225</v>
      </c>
      <c r="AW32" s="21">
        <f>EXP(-LN(2)/2)*AW31+(1-EXP(-LN(2)/2))/(LN(2)/2)*AQ32*AT32*VLOOKUP('Données projet'!$B$10,Paramètres!$A$1:$I$89,3,0)*0.475*44/12</f>
        <v>4.4884149656691998E-2</v>
      </c>
      <c r="AX32" s="21">
        <f t="shared" si="6"/>
        <v>0.46045890385152427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21.1</v>
      </c>
      <c r="BD32" s="12">
        <f>IF('Données projet'!$A$88&gt;35,BD31+BC32-BL31,IF(A32&lt;'Données projet'!$A$88,$BA$205^A32,IF(A32='Données projet'!$A$88,'Données projet'!$B$88,BD31+BC32-BL31)))</f>
        <v>292.89999999999998</v>
      </c>
      <c r="BE32" s="13">
        <f>BD32*VLOOKUP('Données projet'!$B$11,Paramètres!$A$1:$I$89,3,0)*VLOOKUP('Données projet'!$B$11,Paramètres!$A$1:$I$89,5,0)</f>
        <v>118.03869999999999</v>
      </c>
      <c r="BF32" s="13">
        <f t="shared" si="37"/>
        <v>31.217120475792914</v>
      </c>
      <c r="BG32" s="20">
        <f t="shared" si="7"/>
        <v>259.95388732867264</v>
      </c>
      <c r="BH32" s="59">
        <f t="shared" si="8"/>
        <v>553.28722066200589</v>
      </c>
      <c r="BI32" s="59">
        <f ca="1">AVERAGE(OFFSET($BH$3,0,0,'Données projet'!$E$11+1,1))-AVERAGE(OFFSET($H$3,0,0,'Données projet'!$E$11+1,1))</f>
        <v>265.97106059040101</v>
      </c>
      <c r="BJ32" s="59">
        <f t="shared" si="38"/>
        <v>240.18718869578237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13</v>
      </c>
      <c r="BY32" s="12">
        <f>IF('Données projet'!$A$114&gt;35,BY31+BX32-CG31,IF(A32&lt;'Données projet'!$A$114,$BV$205^A32,IF(A32='Données projet'!$A$114,'Données projet'!$B$114,BY31+BX32-CG31)))</f>
        <v>205</v>
      </c>
      <c r="BZ32" s="13">
        <f>BY32*VLOOKUP('Données projet'!$B$12,Paramètres!$A$1:$I$89,3,0)*VLOOKUP('Données projet'!$B$12,Paramètres!$A$1:$I$89,5,0)</f>
        <v>122.59</v>
      </c>
      <c r="CA32" s="13">
        <f t="shared" si="39"/>
        <v>32.278321478706822</v>
      </c>
      <c r="CB32" s="20">
        <f t="shared" si="10"/>
        <v>269.72899324208106</v>
      </c>
      <c r="CC32" s="59">
        <f t="shared" si="11"/>
        <v>563.06232657541432</v>
      </c>
      <c r="CD32" s="59">
        <f ca="1">AVERAGE(OFFSET($CC$3,0,0,'Données projet'!$E$12+1,1))-AVERAGE(OFFSET($H$3,0,0,'Données projet'!$E$12+1,1))</f>
        <v>247.30892363953825</v>
      </c>
      <c r="CE32" s="59">
        <f t="shared" si="40"/>
        <v>248.38414731596578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0.41557475419483225</v>
      </c>
      <c r="CM32" s="21">
        <f>EXP(-LN(2)/2)*CM31+(1-EXP(-LN(2)/2))/(LN(2)/2)*CG32*CJ32*VLOOKUP('Données projet'!$B$12,Paramètres!$A$1:$I$89,3,0)*0.475*44/12</f>
        <v>4.4884149656691998E-2</v>
      </c>
      <c r="CN32" s="22">
        <f t="shared" si="12"/>
        <v>0.46045890385152427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14.833333333333334</v>
      </c>
      <c r="N33" s="13">
        <f>IF('Données projet'!$A$36&gt;35,N32+M33-V32,IF(A33&lt;'Données projet'!$A$36,$K$205^A33,IF(A33='Données projet'!$A$36,'Données projet'!$B$36,N32+M33-V32)))</f>
        <v>184.66666666666669</v>
      </c>
      <c r="O33" s="13">
        <f>N33*VLOOKUP('Données projet'!$B$9,Paramètres!$A$1:$I$89,3,0)*VLOOKUP('Données projet'!$B$9,Paramètres!$A$1:$I$89,5,0)</f>
        <v>110.43066666666668</v>
      </c>
      <c r="P33" s="13">
        <f t="shared" si="33"/>
        <v>29.43242991113809</v>
      </c>
      <c r="Q33" s="20">
        <f t="shared" si="2"/>
        <v>243.5948932063433</v>
      </c>
      <c r="R33" s="59">
        <f t="shared" si="0"/>
        <v>536.92822653967664</v>
      </c>
      <c r="S33" s="59">
        <f ca="1">AVERAGE(OFFSET($R$3,0,0,'Données projet'!$E$9+1,1))-AVERAGE(OFFSET($H$3,0,0,'Données projet'!$E$9+1,1))</f>
        <v>191.77102466144095</v>
      </c>
      <c r="T33" s="59">
        <f t="shared" si="34"/>
        <v>205.57161411620217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6.2122642072721463</v>
      </c>
      <c r="AA33" s="21">
        <f>EXP(-LN(2)/25)*AA32+(1-EXP(-LN(2)/25))/(LN(2)/25)*Calculateur!V33*Calculateur!X33*VLOOKUP('Données projet'!$B$9,Paramètres!$A$1:$I$89,3,0)*0.475*44/12</f>
        <v>12.330882251955801</v>
      </c>
      <c r="AB33" s="21">
        <f>EXP(-LN(2)/2)*AB32+(1-EXP(-LN(2)/2))/(LN(2)/2)*V33*Y33*VLOOKUP('Données projet'!$B$9,Paramètres!$A$1:$I$89,3,0)*0.475*44/12</f>
        <v>5.4456923740741496</v>
      </c>
      <c r="AC33" s="22">
        <f t="shared" si="3"/>
        <v>23.988838833302097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218</v>
      </c>
      <c r="AG33" s="12">
        <f>VLOOKUP(A33,'Données projet'!$A$61:$I$81,9,0)</f>
        <v>13</v>
      </c>
      <c r="AH33" s="12">
        <f t="array" ref="AH33">INDEX(AG:AG,MIN(IF(ISNUMBER(AG33:AG229),ROW(AG33:AG229),"")))</f>
        <v>13</v>
      </c>
      <c r="AI33" s="13">
        <f>IF('Données projet'!$A$62&gt;35,AI32+AH33-AQ32,IF(A33&lt;'Données projet'!$A$62,$AF$205^A33,IF(A33='Données projet'!$A$62,'Données projet'!$B$62,AI32+AH33-AQ32)))</f>
        <v>218</v>
      </c>
      <c r="AJ33" s="13">
        <f>AI33*VLOOKUP('Données projet'!$B$10,Paramètres!$A$1:$I$89,3,0)*VLOOKUP('Données projet'!$B$10,Paramètres!$A$1:$I$89,5,0)</f>
        <v>130.364</v>
      </c>
      <c r="AK33" s="13">
        <f t="shared" si="35"/>
        <v>34.080455352788661</v>
      </c>
      <c r="AL33" s="20">
        <f t="shared" si="4"/>
        <v>286.40742640610694</v>
      </c>
      <c r="AM33" s="59">
        <f t="shared" si="5"/>
        <v>579.74075973944025</v>
      </c>
      <c r="AN33" s="59">
        <f ca="1">AVERAGE(OFFSET($AM$3,0,0,'Données projet'!$E$10+1,1))-AVERAGE(OFFSET($H$3,0,0,'Données projet'!$E$10+1,1))</f>
        <v>247.30892363953825</v>
      </c>
      <c r="AO33" s="59">
        <f t="shared" si="36"/>
        <v>248.38414731596578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9.0000000000000011E-2</v>
      </c>
      <c r="AS33" s="16">
        <f>IF(ISNA(VLOOKUP(A33,'Données projet'!$A$61:$I$81,6,0)),0%,VLOOKUP(A33,'Données projet'!$A$61:$I$81,6,0)*VLOOKUP('Données projet'!$B$10,Paramètres!$A$1:$I$89,7,0))</f>
        <v>0.18000000000000002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4.997698929422925</v>
      </c>
      <c r="AV33" s="21">
        <f>EXP(-LN(2)/25)*AV32+(1-EXP(-LN(2)/25))/(LN(2)/25)*Calculateur!AQ33*Calculateur!AS33*VLOOKUP('Données projet'!$B$10,Paramètres!$A$1:$I$89,3,0)*0.475*44/12</f>
        <v>10.360253009617653</v>
      </c>
      <c r="AW33" s="21">
        <f>EXP(-LN(2)/2)*AW32+(1-EXP(-LN(2)/2))/(LN(2)/2)*AQ33*AT33*VLOOKUP('Données projet'!$B$10,Paramètres!$A$1:$I$89,3,0)*0.475*44/12</f>
        <v>18.989835476373187</v>
      </c>
      <c r="AX33" s="21">
        <f t="shared" si="6"/>
        <v>34.347787415413762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314</v>
      </c>
      <c r="BB33" s="12">
        <f>VLOOKUP(A33,'Données projet'!$A$87:$I$107,9,0)</f>
        <v>21.1</v>
      </c>
      <c r="BC33" s="12">
        <f t="array" ref="BC33">INDEX(BB:BB,MIN(IF(ISNUMBER(BB33:BB229),ROW(BB33:BB229),"")))</f>
        <v>21.1</v>
      </c>
      <c r="BD33" s="12">
        <f>IF('Données projet'!$A$88&gt;35,BD32+BC33-BL32,IF(A33&lt;'Données projet'!$A$88,$BA$205^A33,IF(A33='Données projet'!$A$88,'Données projet'!$B$88,BD32+BC33-BL32)))</f>
        <v>314</v>
      </c>
      <c r="BE33" s="13">
        <f>BD33*VLOOKUP('Données projet'!$B$11,Paramètres!$A$1:$I$89,3,0)*VLOOKUP('Données projet'!$B$11,Paramètres!$A$1:$I$89,5,0)</f>
        <v>126.54200000000002</v>
      </c>
      <c r="BF33" s="13">
        <f t="shared" si="37"/>
        <v>33.196067628281433</v>
      </c>
      <c r="BG33" s="20">
        <f t="shared" si="7"/>
        <v>278.21046778592353</v>
      </c>
      <c r="BH33" s="59">
        <f t="shared" si="8"/>
        <v>571.54380111925684</v>
      </c>
      <c r="BI33" s="59">
        <f ca="1">AVERAGE(OFFSET($BH$3,0,0,'Données projet'!$E$11+1,1))-AVERAGE(OFFSET($H$3,0,0,'Données projet'!$E$11+1,1))</f>
        <v>265.97106059040101</v>
      </c>
      <c r="BJ33" s="59">
        <f t="shared" si="38"/>
        <v>240.18718869578237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98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5.7630470263442115</v>
      </c>
      <c r="BQ33" s="21">
        <f>EXP(-LN(2)/25)*BQ32+(1-EXP(-LN(2)/25))/(LN(2)/25)*Calculateur!BL33*Calculateur!BN33*VLOOKUP('Données projet'!$B$11,Paramètres!$A$1:$I$89,3,0)*0.475*44/12</f>
        <v>11.480711428616845</v>
      </c>
      <c r="BR33" s="21">
        <f>EXP(-LN(2)/2)*BR32+(1-EXP(-LN(2)/2))/(LN(2)/2)*BL33*BO33*VLOOKUP('Données projet'!$B$11,Paramètres!$A$1:$I$89,3,0)*0.475*44/12</f>
        <v>17.886552943404094</v>
      </c>
      <c r="BS33" s="22">
        <f t="shared" si="9"/>
        <v>35.130311398365151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218</v>
      </c>
      <c r="BW33" s="12">
        <f>VLOOKUP(A33,'Données projet'!$A$113:$I$133,9,0)</f>
        <v>13</v>
      </c>
      <c r="BX33" s="12">
        <f t="array" ref="BX33">INDEX(BW:BW,MIN(IF(ISNUMBER(BW33:BW229),ROW(BW33:BW229),"")))</f>
        <v>13</v>
      </c>
      <c r="BY33" s="12">
        <f>IF('Données projet'!$A$114&gt;35,BY32+BX33-CG32,IF(A33&lt;'Données projet'!$A$114,$BV$205^A33,IF(A33='Données projet'!$A$114,'Données projet'!$B$114,BY32+BX33-CG32)))</f>
        <v>218</v>
      </c>
      <c r="BZ33" s="13">
        <f>BY33*VLOOKUP('Données projet'!$B$12,Paramètres!$A$1:$I$89,3,0)*VLOOKUP('Données projet'!$B$12,Paramètres!$A$1:$I$89,5,0)</f>
        <v>130.364</v>
      </c>
      <c r="CA33" s="13">
        <f t="shared" si="39"/>
        <v>34.080455352788661</v>
      </c>
      <c r="CB33" s="20">
        <f t="shared" si="10"/>
        <v>286.40742640610694</v>
      </c>
      <c r="CC33" s="59">
        <f t="shared" si="11"/>
        <v>579.74075973944025</v>
      </c>
      <c r="CD33" s="59">
        <f ca="1">AVERAGE(OFFSET($CC$3,0,0,'Données projet'!$E$12+1,1))-AVERAGE(OFFSET($H$3,0,0,'Données projet'!$E$12+1,1))</f>
        <v>247.30892363953825</v>
      </c>
      <c r="CE33" s="59">
        <f t="shared" si="40"/>
        <v>248.38414731596578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70</v>
      </c>
      <c r="CH33" s="16">
        <f>IF(ISNA(VLOOKUP(A33,'Données projet'!$A$113:$I$133,5,0)),0%,VLOOKUP(A33,'Données projet'!$A$113:$I$133,5,0)*VLOOKUP('Données projet'!$B$12,Paramètres!$A$1:$I$89,7,0))</f>
        <v>9.0000000000000011E-2</v>
      </c>
      <c r="CI33" s="16">
        <f>IF(ISNA(VLOOKUP(A33,'Données projet'!$A$113:$I$133,6,0)),0%,VLOOKUP(A33,'Données projet'!$A$113:$I$133,6,0)*VLOOKUP('Données projet'!$B$12,Paramètres!$A$1:$I$89,7,0))</f>
        <v>0.18000000000000002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4.997698929422925</v>
      </c>
      <c r="CL33" s="21">
        <f>EXP(-LN(2)/25)*CL32+(1-EXP(-LN(2)/25))/(LN(2)/25)*Calculateur!CG33*Calculateur!CI33*VLOOKUP('Données projet'!$B$12,Paramètres!$A$1:$I$89,3,0)*0.475*44/12</f>
        <v>10.360253009617653</v>
      </c>
      <c r="CM33" s="21">
        <f>EXP(-LN(2)/2)*CM32+(1-EXP(-LN(2)/2))/(LN(2)/2)*CG33*CJ33*VLOOKUP('Données projet'!$B$12,Paramètres!$A$1:$I$89,3,0)*0.475*44/12</f>
        <v>18.989835476373187</v>
      </c>
      <c r="CN33" s="22">
        <f t="shared" si="12"/>
        <v>34.347787415413762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14.833333333333334</v>
      </c>
      <c r="N34" s="13">
        <f>IF('Données projet'!$A$36&gt;35,N33+M34-V33,IF(A34&lt;'Données projet'!$A$36,$K$205^A34,IF(A34='Données projet'!$A$36,'Données projet'!$B$36,N33+M34-V33)))</f>
        <v>199.50000000000003</v>
      </c>
      <c r="O34" s="13">
        <f>N34*VLOOKUP('Données projet'!$B$9,Paramètres!$A$1:$I$89,3,0)*VLOOKUP('Données projet'!$B$9,Paramètres!$A$1:$I$89,5,0)</f>
        <v>119.30100000000002</v>
      </c>
      <c r="P34" s="13">
        <f t="shared" si="33"/>
        <v>31.51191363312137</v>
      </c>
      <c r="Q34" s="20">
        <f t="shared" si="2"/>
        <v>262.66582457768635</v>
      </c>
      <c r="R34" s="59">
        <f t="shared" si="0"/>
        <v>555.99915791101967</v>
      </c>
      <c r="S34" s="59">
        <f ca="1">AVERAGE(OFFSET($R$3,0,0,'Données projet'!$E$9+1,1))-AVERAGE(OFFSET($H$3,0,0,'Données projet'!$E$9+1,1))</f>
        <v>191.77102466144095</v>
      </c>
      <c r="T34" s="59">
        <f t="shared" si="34"/>
        <v>205.57161411620217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6.0904454952745626</v>
      </c>
      <c r="AA34" s="21">
        <f>EXP(-LN(2)/25)*AA33+(1-EXP(-LN(2)/25))/(LN(2)/25)*Calculateur!V34*Calculateur!X34*VLOOKUP('Données projet'!$B$9,Paramètres!$A$1:$I$89,3,0)*0.475*44/12</f>
        <v>11.993693628323154</v>
      </c>
      <c r="AB34" s="21">
        <f>EXP(-LN(2)/2)*AB33+(1-EXP(-LN(2)/2))/(LN(2)/2)*V34*Y34*VLOOKUP('Données projet'!$B$9,Paramètres!$A$1:$I$89,3,0)*0.475*44/12</f>
        <v>3.8506860059637007</v>
      </c>
      <c r="AC34" s="22">
        <f t="shared" si="3"/>
        <v>21.934825129561418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13.7</v>
      </c>
      <c r="AI34" s="13">
        <f>IF('Données projet'!$A$62&gt;35,AI33+AH34-AQ33,IF(A34&lt;'Données projet'!$A$62,$AF$205^A34,IF(A34='Données projet'!$A$62,'Données projet'!$B$62,AI33+AH34-AQ33)))</f>
        <v>161.69999999999999</v>
      </c>
      <c r="AJ34" s="13">
        <f>AI34*VLOOKUP('Données projet'!$B$10,Paramètres!$A$1:$I$89,3,0)*VLOOKUP('Données projet'!$B$10,Paramètres!$A$1:$I$89,5,0)</f>
        <v>96.696600000000004</v>
      </c>
      <c r="AK34" s="13">
        <f t="shared" si="35"/>
        <v>26.173476069859898</v>
      </c>
      <c r="AL34" s="20">
        <f t="shared" si="4"/>
        <v>213.99871582167268</v>
      </c>
      <c r="AM34" s="59">
        <f t="shared" si="5"/>
        <v>507.33204915500596</v>
      </c>
      <c r="AN34" s="59">
        <f ca="1">AVERAGE(OFFSET($AM$3,0,0,'Données projet'!$E$10+1,1))-AVERAGE(OFFSET($H$3,0,0,'Données projet'!$E$10+1,1))</f>
        <v>247.30892363953825</v>
      </c>
      <c r="AO34" s="59">
        <f t="shared" si="36"/>
        <v>248.38414731596578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4.8996971017122943</v>
      </c>
      <c r="AV34" s="21">
        <f>EXP(-LN(2)/25)*AV33+(1-EXP(-LN(2)/25))/(LN(2)/25)*Calculateur!AQ34*Calculateur!AS34*VLOOKUP('Données projet'!$B$10,Paramètres!$A$1:$I$89,3,0)*0.475*44/12</f>
        <v>10.076951346247631</v>
      </c>
      <c r="AW34" s="21">
        <f>EXP(-LN(2)/2)*AW33+(1-EXP(-LN(2)/2))/(LN(2)/2)*AQ34*AT34*VLOOKUP('Données projet'!$B$10,Paramètres!$A$1:$I$89,3,0)*0.475*44/12</f>
        <v>13.427841438960353</v>
      </c>
      <c r="AX34" s="21">
        <f t="shared" si="6"/>
        <v>28.404489886920278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23.4</v>
      </c>
      <c r="BD34" s="12">
        <f>IF('Données projet'!$A$88&gt;35,BD33+BC34-BL33,IF(A34&lt;'Données projet'!$A$88,$BA$205^A34,IF(A34='Données projet'!$A$88,'Données projet'!$B$88,BD33+BC34-BL33)))</f>
        <v>239.39999999999998</v>
      </c>
      <c r="BE34" s="13">
        <f>BD34*VLOOKUP('Données projet'!$B$11,Paramètres!$A$1:$I$89,3,0)*VLOOKUP('Données projet'!$B$11,Paramètres!$A$1:$I$89,5,0)</f>
        <v>96.478200000000001</v>
      </c>
      <c r="BF34" s="13">
        <f t="shared" si="37"/>
        <v>26.121234565468765</v>
      </c>
      <c r="BG34" s="20">
        <f t="shared" si="7"/>
        <v>213.52734853485811</v>
      </c>
      <c r="BH34" s="59">
        <f t="shared" si="8"/>
        <v>506.86068186819142</v>
      </c>
      <c r="BI34" s="59">
        <f ca="1">AVERAGE(OFFSET($BH$3,0,0,'Données projet'!$E$11+1,1))-AVERAGE(OFFSET($H$3,0,0,'Données projet'!$E$11+1,1))</f>
        <v>265.97106059040101</v>
      </c>
      <c r="BJ34" s="59">
        <f t="shared" si="38"/>
        <v>240.18718869578237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5.6500371892691987</v>
      </c>
      <c r="BQ34" s="21">
        <f>EXP(-LN(2)/25)*BQ33+(1-EXP(-LN(2)/25))/(LN(2)/25)*Calculateur!BL34*Calculateur!BN34*VLOOKUP('Données projet'!$B$11,Paramètres!$A$1:$I$89,3,0)*0.475*44/12</f>
        <v>11.166770770856942</v>
      </c>
      <c r="BR34" s="21">
        <f>EXP(-LN(2)/2)*BR33+(1-EXP(-LN(2)/2))/(LN(2)/2)*BL34*BO34*VLOOKUP('Données projet'!$B$11,Paramètres!$A$1:$I$89,3,0)*0.475*44/12</f>
        <v>12.647702878333238</v>
      </c>
      <c r="BS34" s="22">
        <f t="shared" si="9"/>
        <v>29.464510838459379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13.7</v>
      </c>
      <c r="BY34" s="12">
        <f>IF('Données projet'!$A$114&gt;35,BY33+BX34-CG33,IF(A34&lt;'Données projet'!$A$114,$BV$205^A34,IF(A34='Données projet'!$A$114,'Données projet'!$B$114,BY33+BX34-CG33)))</f>
        <v>161.69999999999999</v>
      </c>
      <c r="BZ34" s="13">
        <f>BY34*VLOOKUP('Données projet'!$B$12,Paramètres!$A$1:$I$89,3,0)*VLOOKUP('Données projet'!$B$12,Paramètres!$A$1:$I$89,5,0)</f>
        <v>96.696600000000004</v>
      </c>
      <c r="CA34" s="13">
        <f t="shared" si="39"/>
        <v>26.173476069859898</v>
      </c>
      <c r="CB34" s="20">
        <f t="shared" si="10"/>
        <v>213.99871582167268</v>
      </c>
      <c r="CC34" s="59">
        <f t="shared" si="11"/>
        <v>507.33204915500596</v>
      </c>
      <c r="CD34" s="59">
        <f ca="1">AVERAGE(OFFSET($CC$3,0,0,'Données projet'!$E$12+1,1))-AVERAGE(OFFSET($H$3,0,0,'Données projet'!$E$12+1,1))</f>
        <v>247.30892363953825</v>
      </c>
      <c r="CE34" s="59">
        <f t="shared" si="40"/>
        <v>248.38414731596578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4.8996971017122943</v>
      </c>
      <c r="CL34" s="21">
        <f>EXP(-LN(2)/25)*CL33+(1-EXP(-LN(2)/25))/(LN(2)/25)*Calculateur!CG34*Calculateur!CI34*VLOOKUP('Données projet'!$B$12,Paramètres!$A$1:$I$89,3,0)*0.475*44/12</f>
        <v>10.076951346247631</v>
      </c>
      <c r="CM34" s="21">
        <f>EXP(-LN(2)/2)*CM33+(1-EXP(-LN(2)/2))/(LN(2)/2)*CG34*CJ34*VLOOKUP('Données projet'!$B$12,Paramètres!$A$1:$I$89,3,0)*0.475*44/12</f>
        <v>13.427841438960353</v>
      </c>
      <c r="CN34" s="22">
        <f t="shared" si="12"/>
        <v>28.404489886920278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14.833333333333334</v>
      </c>
      <c r="N35" s="13">
        <f>IF('Données projet'!$A$36&gt;35,N34+M35-V34,IF(A35&lt;'Données projet'!$A$36,$K$205^A35,IF(A35='Données projet'!$A$36,'Données projet'!$B$36,N34+M35-V34)))</f>
        <v>214.33333333333337</v>
      </c>
      <c r="O35" s="13">
        <f>N35*VLOOKUP('Données projet'!$B$9,Paramètres!$A$1:$I$89,3,0)*VLOOKUP('Données projet'!$B$9,Paramètres!$A$1:$I$89,5,0)</f>
        <v>128.17133333333337</v>
      </c>
      <c r="P35" s="13">
        <f t="shared" si="33"/>
        <v>33.5734603980111</v>
      </c>
      <c r="Q35" s="20">
        <f t="shared" ref="Q35:Q66" si="53">(O35+P35)*0.475*44/12</f>
        <v>281.70551574875822</v>
      </c>
      <c r="R35" s="59">
        <f t="shared" si="0"/>
        <v>575.03884908209147</v>
      </c>
      <c r="S35" s="59">
        <f ca="1">AVERAGE(OFFSET($R$3,0,0,'Données projet'!$E$9+1,1))-AVERAGE(OFFSET($H$3,0,0,'Données projet'!$E$9+1,1))</f>
        <v>191.77102466144095</v>
      </c>
      <c r="T35" s="59">
        <f t="shared" si="34"/>
        <v>205.57161411620217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5.9710155739171737</v>
      </c>
      <c r="AA35" s="21">
        <f>EXP(-LN(2)/25)*AA34+(1-EXP(-LN(2)/25))/(LN(2)/25)*Calculateur!V35*Calculateur!X35*VLOOKUP('Données projet'!$B$9,Paramètres!$A$1:$I$89,3,0)*0.475*44/12</f>
        <v>11.66572544533572</v>
      </c>
      <c r="AB35" s="21">
        <f>EXP(-LN(2)/2)*AB34+(1-EXP(-LN(2)/2))/(LN(2)/2)*V35*Y35*VLOOKUP('Données projet'!$B$9,Paramètres!$A$1:$I$89,3,0)*0.475*44/12</f>
        <v>2.7228461870370753</v>
      </c>
      <c r="AC35" s="22">
        <f t="shared" si="3"/>
        <v>20.359587206289969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13.7</v>
      </c>
      <c r="AI35" s="13">
        <f>IF('Données projet'!$A$62&gt;35,AI34+AH35-AQ34,IF(A35&lt;'Données projet'!$A$62,$AF$205^A35,IF(A35='Données projet'!$A$62,'Données projet'!$B$62,AI34+AH35-AQ34)))</f>
        <v>175.39999999999998</v>
      </c>
      <c r="AJ35" s="13">
        <f>AI35*VLOOKUP('Données projet'!$B$10,Paramètres!$A$1:$I$89,3,0)*VLOOKUP('Données projet'!$B$10,Paramètres!$A$1:$I$89,5,0)</f>
        <v>104.8892</v>
      </c>
      <c r="AK35" s="13">
        <f t="shared" si="35"/>
        <v>28.123526406473545</v>
      </c>
      <c r="AL35" s="20">
        <f t="shared" si="4"/>
        <v>231.66383182460808</v>
      </c>
      <c r="AM35" s="59">
        <f t="shared" si="5"/>
        <v>524.99716515794137</v>
      </c>
      <c r="AN35" s="59">
        <f ca="1">AVERAGE(OFFSET($AM$3,0,0,'Données projet'!$E$10+1,1))-AVERAGE(OFFSET($H$3,0,0,'Données projet'!$E$10+1,1))</f>
        <v>247.30892363953825</v>
      </c>
      <c r="AO35" s="59">
        <f t="shared" si="36"/>
        <v>248.38414731596578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4.8036170300678567</v>
      </c>
      <c r="AV35" s="21">
        <f>EXP(-LN(2)/25)*AV34+(1-EXP(-LN(2)/25))/(LN(2)/25)*Calculateur!AQ35*Calculateur!AS35*VLOOKUP('Données projet'!$B$10,Paramètres!$A$1:$I$89,3,0)*0.475*44/12</f>
        <v>9.801396581760649</v>
      </c>
      <c r="AW35" s="21">
        <f>EXP(-LN(2)/2)*AW34+(1-EXP(-LN(2)/2))/(LN(2)/2)*AQ35*AT35*VLOOKUP('Données projet'!$B$10,Paramètres!$A$1:$I$89,3,0)*0.475*44/12</f>
        <v>9.4949177381865955</v>
      </c>
      <c r="AX35" s="21">
        <f t="shared" si="6"/>
        <v>24.099931350015101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23.4</v>
      </c>
      <c r="BD35" s="12">
        <f>IF('Données projet'!$A$88&gt;35,BD34+BC35-BL34,IF(A35&lt;'Données projet'!$A$88,$BA$205^A35,IF(A35='Données projet'!$A$88,'Données projet'!$B$88,BD34+BC35-BL34)))</f>
        <v>262.79999999999995</v>
      </c>
      <c r="BE35" s="13">
        <f>BD35*VLOOKUP('Données projet'!$B$11,Paramètres!$A$1:$I$89,3,0)*VLOOKUP('Données projet'!$B$11,Paramètres!$A$1:$I$89,5,0)</f>
        <v>105.90839999999999</v>
      </c>
      <c r="BF35" s="13">
        <f t="shared" si="37"/>
        <v>28.36485530760914</v>
      </c>
      <c r="BG35" s="20">
        <f t="shared" si="7"/>
        <v>233.85925299408589</v>
      </c>
      <c r="BH35" s="59">
        <f t="shared" si="8"/>
        <v>527.19258632741924</v>
      </c>
      <c r="BI35" s="59">
        <f ca="1">AVERAGE(OFFSET($BH$3,0,0,'Données projet'!$E$11+1,1))-AVERAGE(OFFSET($H$3,0,0,'Données projet'!$E$11+1,1))</f>
        <v>265.97106059040101</v>
      </c>
      <c r="BJ35" s="59">
        <f t="shared" si="38"/>
        <v>240.18718869578237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5.5392434061700326</v>
      </c>
      <c r="BQ35" s="21">
        <f>EXP(-LN(2)/25)*BQ34+(1-EXP(-LN(2)/25))/(LN(2)/25)*Calculateur!BL35*Calculateur!BN35*VLOOKUP('Données projet'!$B$11,Paramètres!$A$1:$I$89,3,0)*0.475*44/12</f>
        <v>10.861414836892907</v>
      </c>
      <c r="BR35" s="21">
        <f>EXP(-LN(2)/2)*BR34+(1-EXP(-LN(2)/2))/(LN(2)/2)*BL35*BO35*VLOOKUP('Données projet'!$B$11,Paramètres!$A$1:$I$89,3,0)*0.475*44/12</f>
        <v>8.943276471702049</v>
      </c>
      <c r="BS35" s="22">
        <f t="shared" si="9"/>
        <v>25.343934714764988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13.7</v>
      </c>
      <c r="BY35" s="12">
        <f>IF('Données projet'!$A$114&gt;35,BY34+BX35-CG34,IF(A35&lt;'Données projet'!$A$114,$BV$205^A35,IF(A35='Données projet'!$A$114,'Données projet'!$B$114,BY34+BX35-CG34)))</f>
        <v>175.39999999999998</v>
      </c>
      <c r="BZ35" s="13">
        <f>BY35*VLOOKUP('Données projet'!$B$12,Paramètres!$A$1:$I$89,3,0)*VLOOKUP('Données projet'!$B$12,Paramètres!$A$1:$I$89,5,0)</f>
        <v>104.8892</v>
      </c>
      <c r="CA35" s="13">
        <f t="shared" si="39"/>
        <v>28.123526406473545</v>
      </c>
      <c r="CB35" s="20">
        <f t="shared" si="10"/>
        <v>231.66383182460808</v>
      </c>
      <c r="CC35" s="59">
        <f t="shared" si="11"/>
        <v>524.99716515794137</v>
      </c>
      <c r="CD35" s="59">
        <f ca="1">AVERAGE(OFFSET($CC$3,0,0,'Données projet'!$E$12+1,1))-AVERAGE(OFFSET($H$3,0,0,'Données projet'!$E$12+1,1))</f>
        <v>247.30892363953825</v>
      </c>
      <c r="CE35" s="59">
        <f t="shared" si="40"/>
        <v>248.38414731596578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4.8036170300678567</v>
      </c>
      <c r="CL35" s="21">
        <f>EXP(-LN(2)/25)*CL34+(1-EXP(-LN(2)/25))/(LN(2)/25)*Calculateur!CG35*Calculateur!CI35*VLOOKUP('Données projet'!$B$12,Paramètres!$A$1:$I$89,3,0)*0.475*44/12</f>
        <v>9.801396581760649</v>
      </c>
      <c r="CM35" s="21">
        <f>EXP(-LN(2)/2)*CM34+(1-EXP(-LN(2)/2))/(LN(2)/2)*CG35*CJ35*VLOOKUP('Données projet'!$B$12,Paramètres!$A$1:$I$89,3,0)*0.475*44/12</f>
        <v>9.4949177381865955</v>
      </c>
      <c r="CN35" s="22">
        <f t="shared" si="12"/>
        <v>24.099931350015101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14.833333333333334</v>
      </c>
      <c r="N36" s="13">
        <f>IF('Données projet'!$A$36&gt;35,N35+M36-V35,IF(A36&lt;'Données projet'!$A$36,$K$205^A36,IF(A36='Données projet'!$A$36,'Données projet'!$B$36,N35+M36-V35)))</f>
        <v>229.16666666666671</v>
      </c>
      <c r="O36" s="13">
        <f>N36*VLOOKUP('Données projet'!$B$9,Paramètres!$A$1:$I$89,3,0)*VLOOKUP('Données projet'!$B$9,Paramètres!$A$1:$I$89,5,0)</f>
        <v>137.04166666666671</v>
      </c>
      <c r="P36" s="13">
        <f t="shared" si="33"/>
        <v>35.618452776877568</v>
      </c>
      <c r="Q36" s="20">
        <f t="shared" si="53"/>
        <v>300.7163746975063</v>
      </c>
      <c r="R36" s="59">
        <f t="shared" si="0"/>
        <v>594.04970803083961</v>
      </c>
      <c r="S36" s="59">
        <f ca="1">AVERAGE(OFFSET($R$3,0,0,'Données projet'!$E$9+1,1))-AVERAGE(OFFSET($H$3,0,0,'Données projet'!$E$9+1,1))</f>
        <v>191.77102466144095</v>
      </c>
      <c r="T36" s="59">
        <f t="shared" si="34"/>
        <v>205.57161411620217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5.8539276004725442</v>
      </c>
      <c r="AA36" s="21">
        <f>EXP(-LN(2)/25)*AA35+(1-EXP(-LN(2)/25))/(LN(2)/25)*Calculateur!V36*Calculateur!X36*VLOOKUP('Données projet'!$B$9,Paramètres!$A$1:$I$89,3,0)*0.475*44/12</f>
        <v>11.346725569559176</v>
      </c>
      <c r="AB36" s="21">
        <f>EXP(-LN(2)/2)*AB35+(1-EXP(-LN(2)/2))/(LN(2)/2)*V36*Y36*VLOOKUP('Données projet'!$B$9,Paramètres!$A$1:$I$89,3,0)*0.475*44/12</f>
        <v>1.9253430029818506</v>
      </c>
      <c r="AC36" s="22">
        <f t="shared" si="3"/>
        <v>19.125996173013572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13.7</v>
      </c>
      <c r="AI36" s="13">
        <f>IF('Données projet'!$A$62&gt;35,AI35+AH36-AQ35,IF(A36&lt;'Données projet'!$A$62,$AF$205^A36,IF(A36='Données projet'!$A$62,'Données projet'!$B$62,AI35+AH36-AQ35)))</f>
        <v>189.09999999999997</v>
      </c>
      <c r="AJ36" s="13">
        <f>AI36*VLOOKUP('Données projet'!$B$10,Paramètres!$A$1:$I$89,3,0)*VLOOKUP('Données projet'!$B$10,Paramètres!$A$1:$I$89,5,0)</f>
        <v>113.08179999999999</v>
      </c>
      <c r="AK36" s="13">
        <f t="shared" si="35"/>
        <v>30.055908915657483</v>
      </c>
      <c r="AL36" s="20">
        <f t="shared" si="4"/>
        <v>249.29817636143676</v>
      </c>
      <c r="AM36" s="59">
        <f t="shared" si="5"/>
        <v>542.6315096947701</v>
      </c>
      <c r="AN36" s="59">
        <f ca="1">AVERAGE(OFFSET($AM$3,0,0,'Données projet'!$E$10+1,1))-AVERAGE(OFFSET($H$3,0,0,'Données projet'!$E$10+1,1))</f>
        <v>247.30892363953825</v>
      </c>
      <c r="AO36" s="59">
        <f t="shared" si="36"/>
        <v>248.38414731596578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4.7094210300253092</v>
      </c>
      <c r="AV36" s="21">
        <f>EXP(-LN(2)/25)*AV35+(1-EXP(-LN(2)/25))/(LN(2)/25)*Calculateur!AQ36*Calculateur!AS36*VLOOKUP('Données projet'!$B$10,Paramètres!$A$1:$I$89,3,0)*0.475*44/12</f>
        <v>9.533376876799359</v>
      </c>
      <c r="AW36" s="21">
        <f>EXP(-LN(2)/2)*AW35+(1-EXP(-LN(2)/2))/(LN(2)/2)*AQ36*AT36*VLOOKUP('Données projet'!$B$10,Paramètres!$A$1:$I$89,3,0)*0.475*44/12</f>
        <v>6.7139207194801784</v>
      </c>
      <c r="AX36" s="21">
        <f t="shared" si="6"/>
        <v>20.956718626304848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23.4</v>
      </c>
      <c r="BD36" s="12">
        <f>IF('Données projet'!$A$88&gt;35,BD35+BC36-BL35,IF(A36&lt;'Données projet'!$A$88,$BA$205^A36,IF(A36='Données projet'!$A$88,'Données projet'!$B$88,BD35+BC36-BL35)))</f>
        <v>286.19999999999993</v>
      </c>
      <c r="BE36" s="13">
        <f>BD36*VLOOKUP('Données projet'!$B$11,Paramètres!$A$1:$I$89,3,0)*VLOOKUP('Données projet'!$B$11,Paramètres!$A$1:$I$89,5,0)</f>
        <v>115.33859999999997</v>
      </c>
      <c r="BF36" s="13">
        <f t="shared" si="37"/>
        <v>30.585310106626213</v>
      </c>
      <c r="BG36" s="20">
        <f t="shared" si="7"/>
        <v>254.15081010237392</v>
      </c>
      <c r="BH36" s="59">
        <f t="shared" si="8"/>
        <v>547.48414343570721</v>
      </c>
      <c r="BI36" s="59">
        <f ca="1">AVERAGE(OFFSET($BH$3,0,0,'Données projet'!$E$11+1,1))-AVERAGE(OFFSET($H$3,0,0,'Données projet'!$E$11+1,1))</f>
        <v>265.97106059040101</v>
      </c>
      <c r="BJ36" s="59">
        <f t="shared" si="38"/>
        <v>240.18718869578237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5.4306222215799069</v>
      </c>
      <c r="BQ36" s="21">
        <f>EXP(-LN(2)/25)*BQ35+(1-EXP(-LN(2)/25))/(LN(2)/25)*Calculateur!BL36*Calculateur!BN36*VLOOKUP('Données projet'!$B$11,Paramètres!$A$1:$I$89,3,0)*0.475*44/12</f>
        <v>10.564408877001089</v>
      </c>
      <c r="BR36" s="21">
        <f>EXP(-LN(2)/2)*BR35+(1-EXP(-LN(2)/2))/(LN(2)/2)*BL36*BO36*VLOOKUP('Données projet'!$B$11,Paramètres!$A$1:$I$89,3,0)*0.475*44/12</f>
        <v>6.3238514391666198</v>
      </c>
      <c r="BS36" s="22">
        <f t="shared" si="9"/>
        <v>22.318882537747616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13.7</v>
      </c>
      <c r="BY36" s="12">
        <f>IF('Données projet'!$A$114&gt;35,BY35+BX36-CG35,IF(A36&lt;'Données projet'!$A$114,$BV$205^A36,IF(A36='Données projet'!$A$114,'Données projet'!$B$114,BY35+BX36-CG35)))</f>
        <v>189.09999999999997</v>
      </c>
      <c r="BZ36" s="13">
        <f>BY36*VLOOKUP('Données projet'!$B$12,Paramètres!$A$1:$I$89,3,0)*VLOOKUP('Données projet'!$B$12,Paramètres!$A$1:$I$89,5,0)</f>
        <v>113.08179999999999</v>
      </c>
      <c r="CA36" s="13">
        <f t="shared" si="39"/>
        <v>30.055908915657483</v>
      </c>
      <c r="CB36" s="20">
        <f t="shared" si="10"/>
        <v>249.29817636143676</v>
      </c>
      <c r="CC36" s="59">
        <f t="shared" si="11"/>
        <v>542.6315096947701</v>
      </c>
      <c r="CD36" s="59">
        <f ca="1">AVERAGE(OFFSET($CC$3,0,0,'Données projet'!$E$12+1,1))-AVERAGE(OFFSET($H$3,0,0,'Données projet'!$E$12+1,1))</f>
        <v>247.30892363953825</v>
      </c>
      <c r="CE36" s="59">
        <f t="shared" si="40"/>
        <v>248.38414731596578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4.7094210300253092</v>
      </c>
      <c r="CL36" s="21">
        <f>EXP(-LN(2)/25)*CL35+(1-EXP(-LN(2)/25))/(LN(2)/25)*Calculateur!CG36*Calculateur!CI36*VLOOKUP('Données projet'!$B$12,Paramètres!$A$1:$I$89,3,0)*0.475*44/12</f>
        <v>9.533376876799359</v>
      </c>
      <c r="CM36" s="21">
        <f>EXP(-LN(2)/2)*CM35+(1-EXP(-LN(2)/2))/(LN(2)/2)*CG36*CJ36*VLOOKUP('Données projet'!$B$12,Paramètres!$A$1:$I$89,3,0)*0.475*44/12</f>
        <v>6.7139207194801784</v>
      </c>
      <c r="CN36" s="22">
        <f t="shared" si="12"/>
        <v>20.956718626304848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244</v>
      </c>
      <c r="L37" s="12">
        <f>VLOOKUP(A37,'Données projet'!$A$35:$I$55,9,0)</f>
        <v>14.833333333333334</v>
      </c>
      <c r="M37" s="12">
        <f t="array" ref="M37">INDEX(L:L,MIN(IF(ISNUMBER(L37:L233),ROW(L37:L233),"")))</f>
        <v>14.833333333333334</v>
      </c>
      <c r="N37" s="13">
        <f>IF('Données projet'!$A$36&gt;35,N36+M37-V36,IF(A37&lt;'Données projet'!$A$36,$K$205^A37,IF(A37='Données projet'!$A$36,'Données projet'!$B$36,N36+M37-V36)))</f>
        <v>244.00000000000006</v>
      </c>
      <c r="O37" s="13">
        <f>N37*VLOOKUP('Données projet'!$B$9,Paramètres!$A$1:$I$89,3,0)*VLOOKUP('Données projet'!$B$9,Paramètres!$A$1:$I$89,5,0)</f>
        <v>145.91200000000006</v>
      </c>
      <c r="P37" s="13">
        <f t="shared" si="33"/>
        <v>37.648084239987625</v>
      </c>
      <c r="Q37" s="20">
        <f t="shared" si="53"/>
        <v>319.7004800513119</v>
      </c>
      <c r="R37" s="59">
        <f t="shared" si="0"/>
        <v>613.03381338464521</v>
      </c>
      <c r="S37" s="59">
        <f ca="1">AVERAGE(OFFSET($R$3,0,0,'Données projet'!$E$9+1,1))-AVERAGE(OFFSET($H$3,0,0,'Données projet'!$E$9+1,1))</f>
        <v>191.77102466144095</v>
      </c>
      <c r="T37" s="59">
        <f t="shared" si="34"/>
        <v>205.57161411620217</v>
      </c>
      <c r="U37" s="15">
        <f>IF(ISNA(VLOOKUP(A37,'Données projet'!$A$35:$I$55,3,0)),0,VLOOKUP(A37,'Données projet'!$A$35:$I$55,3,0))</f>
        <v>5</v>
      </c>
      <c r="V37" s="15">
        <f>IF(ISNA(VLOOKUP(A37,'Données projet'!$A$35:$I$55,4,0)),0,VLOOKUP(A37,'Données projet'!$A$35:$I$55,4,0))</f>
        <v>46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5.7391356507705522</v>
      </c>
      <c r="AA37" s="21">
        <f>EXP(-LN(2)/25)*AA36+(1-EXP(-LN(2)/25))/(LN(2)/25)*Calculateur!V37*Calculateur!X37*VLOOKUP('Données projet'!$B$9,Paramètres!$A$1:$I$89,3,0)*0.475*44/12</f>
        <v>11.036448762161216</v>
      </c>
      <c r="AB37" s="21">
        <f>EXP(-LN(2)/2)*AB36+(1-EXP(-LN(2)/2))/(LN(2)/2)*V37*Y37*VLOOKUP('Données projet'!$B$9,Paramètres!$A$1:$I$89,3,0)*0.475*44/12</f>
        <v>1.3614230935185379</v>
      </c>
      <c r="AC37" s="22">
        <f t="shared" si="3"/>
        <v>18.137007506450306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13.7</v>
      </c>
      <c r="AI37" s="13">
        <f>IF('Données projet'!$A$62&gt;35,AI36+AH37-AQ36,IF(A37&lt;'Données projet'!$A$62,$AF$205^A37,IF(A37='Données projet'!$A$62,'Données projet'!$B$62,AI36+AH37-AQ36)))</f>
        <v>202.79999999999995</v>
      </c>
      <c r="AJ37" s="13">
        <f>AI37*VLOOKUP('Données projet'!$B$10,Paramètres!$A$1:$I$89,3,0)*VLOOKUP('Données projet'!$B$10,Paramètres!$A$1:$I$89,5,0)</f>
        <v>121.27439999999999</v>
      </c>
      <c r="AK37" s="13">
        <f t="shared" si="35"/>
        <v>31.972049173215385</v>
      </c>
      <c r="AL37" s="20">
        <f t="shared" si="4"/>
        <v>266.90423231001677</v>
      </c>
      <c r="AM37" s="59">
        <f t="shared" si="5"/>
        <v>560.23756564335008</v>
      </c>
      <c r="AN37" s="59">
        <f ca="1">AVERAGE(OFFSET($AM$3,0,0,'Données projet'!$E$10+1,1))-AVERAGE(OFFSET($H$3,0,0,'Données projet'!$E$10+1,1))</f>
        <v>247.30892363953825</v>
      </c>
      <c r="AO37" s="59">
        <f t="shared" si="36"/>
        <v>248.38414731596578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4.6170721560897094</v>
      </c>
      <c r="AV37" s="21">
        <f>EXP(-LN(2)/25)*AV36+(1-EXP(-LN(2)/25))/(LN(2)/25)*Calculateur!AQ37*Calculateur!AS37*VLOOKUP('Données projet'!$B$10,Paramètres!$A$1:$I$89,3,0)*0.475*44/12</f>
        <v>9.2726861847647797</v>
      </c>
      <c r="AW37" s="21">
        <f>EXP(-LN(2)/2)*AW36+(1-EXP(-LN(2)/2))/(LN(2)/2)*AQ37*AT37*VLOOKUP('Données projet'!$B$10,Paramètres!$A$1:$I$89,3,0)*0.475*44/12</f>
        <v>4.7474588690932986</v>
      </c>
      <c r="AX37" s="21">
        <f t="shared" si="6"/>
        <v>18.637217209947785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23.4</v>
      </c>
      <c r="BD37" s="12">
        <f>IF('Données projet'!$A$88&gt;35,BD36+BC37-BL36,IF(A37&lt;'Données projet'!$A$88,$BA$205^A37,IF(A37='Données projet'!$A$88,'Données projet'!$B$88,BD36+BC37-BL36)))</f>
        <v>309.59999999999991</v>
      </c>
      <c r="BE37" s="13">
        <f>BD37*VLOOKUP('Données projet'!$B$11,Paramètres!$A$1:$I$89,3,0)*VLOOKUP('Données projet'!$B$11,Paramètres!$A$1:$I$89,5,0)</f>
        <v>124.76879999999997</v>
      </c>
      <c r="BF37" s="13">
        <f t="shared" si="37"/>
        <v>32.784708369928126</v>
      </c>
      <c r="BG37" s="20">
        <f t="shared" si="7"/>
        <v>274.40569374429145</v>
      </c>
      <c r="BH37" s="59">
        <f t="shared" si="8"/>
        <v>567.73902707762477</v>
      </c>
      <c r="BI37" s="59">
        <f ca="1">AVERAGE(OFFSET($BH$3,0,0,'Données projet'!$E$11+1,1))-AVERAGE(OFFSET($H$3,0,0,'Données projet'!$E$11+1,1))</f>
        <v>265.97106059040101</v>
      </c>
      <c r="BJ37" s="59">
        <f t="shared" si="38"/>
        <v>240.18718869578237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5.3241310321672124</v>
      </c>
      <c r="BQ37" s="21">
        <f>EXP(-LN(2)/25)*BQ36+(1-EXP(-LN(2)/25))/(LN(2)/25)*Calculateur!BL37*Calculateur!BN37*VLOOKUP('Données projet'!$B$11,Paramètres!$A$1:$I$89,3,0)*0.475*44/12</f>
        <v>10.275524560701376</v>
      </c>
      <c r="BR37" s="21">
        <f>EXP(-LN(2)/2)*BR36+(1-EXP(-LN(2)/2))/(LN(2)/2)*BL37*BO37*VLOOKUP('Données projet'!$B$11,Paramètres!$A$1:$I$89,3,0)*0.475*44/12</f>
        <v>4.4716382358510254</v>
      </c>
      <c r="BS37" s="22">
        <f t="shared" si="9"/>
        <v>20.071293828719615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13.7</v>
      </c>
      <c r="BY37" s="12">
        <f>IF('Données projet'!$A$114&gt;35,BY36+BX37-CG36,IF(A37&lt;'Données projet'!$A$114,$BV$205^A37,IF(A37='Données projet'!$A$114,'Données projet'!$B$114,BY36+BX37-CG36)))</f>
        <v>202.79999999999995</v>
      </c>
      <c r="BZ37" s="13">
        <f>BY37*VLOOKUP('Données projet'!$B$12,Paramètres!$A$1:$I$89,3,0)*VLOOKUP('Données projet'!$B$12,Paramètres!$A$1:$I$89,5,0)</f>
        <v>121.27439999999999</v>
      </c>
      <c r="CA37" s="13">
        <f t="shared" si="39"/>
        <v>31.972049173215385</v>
      </c>
      <c r="CB37" s="20">
        <f t="shared" si="10"/>
        <v>266.90423231001677</v>
      </c>
      <c r="CC37" s="59">
        <f t="shared" si="11"/>
        <v>560.23756564335008</v>
      </c>
      <c r="CD37" s="59">
        <f ca="1">AVERAGE(OFFSET($CC$3,0,0,'Données projet'!$E$12+1,1))-AVERAGE(OFFSET($H$3,0,0,'Données projet'!$E$12+1,1))</f>
        <v>247.30892363953825</v>
      </c>
      <c r="CE37" s="59">
        <f t="shared" si="40"/>
        <v>248.38414731596578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4.6170721560897094</v>
      </c>
      <c r="CL37" s="21">
        <f>EXP(-LN(2)/25)*CL36+(1-EXP(-LN(2)/25))/(LN(2)/25)*Calculateur!CG37*Calculateur!CI37*VLOOKUP('Données projet'!$B$12,Paramètres!$A$1:$I$89,3,0)*0.475*44/12</f>
        <v>9.2726861847647797</v>
      </c>
      <c r="CM37" s="21">
        <f>EXP(-LN(2)/2)*CM36+(1-EXP(-LN(2)/2))/(LN(2)/2)*CG37*CJ37*VLOOKUP('Données projet'!$B$12,Paramètres!$A$1:$I$89,3,0)*0.475*44/12</f>
        <v>4.7474588690932986</v>
      </c>
      <c r="CN37" s="22">
        <f t="shared" si="12"/>
        <v>18.637217209947785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12.833333333333334</v>
      </c>
      <c r="N38" s="13">
        <f>IF('Données projet'!$A$36&gt;35,N37+M38-V37,IF(A38&lt;'Données projet'!$A$36,$K$205^A38,IF(A38='Données projet'!$A$36,'Données projet'!$B$36,N37+M38-V37)))</f>
        <v>210.83333333333337</v>
      </c>
      <c r="O38" s="13">
        <f>N38*VLOOKUP('Données projet'!$B$9,Paramètres!$A$1:$I$89,3,0)*VLOOKUP('Données projet'!$B$9,Paramètres!$A$1:$I$89,5,0)</f>
        <v>126.07833333333336</v>
      </c>
      <c r="P38" s="13">
        <f t="shared" si="33"/>
        <v>33.08856817390501</v>
      </c>
      <c r="Q38" s="20">
        <f t="shared" si="53"/>
        <v>277.21568679177352</v>
      </c>
      <c r="R38" s="59">
        <f t="shared" si="0"/>
        <v>570.54902012510684</v>
      </c>
      <c r="S38" s="59">
        <f ca="1">AVERAGE(OFFSET($R$3,0,0,'Données projet'!$E$9+1,1))-AVERAGE(OFFSET($H$3,0,0,'Données projet'!$E$9+1,1))</f>
        <v>191.77102466144095</v>
      </c>
      <c r="T38" s="59">
        <f t="shared" si="34"/>
        <v>205.57161411620217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5.6265947011860407</v>
      </c>
      <c r="AA38" s="21">
        <f>EXP(-LN(2)/25)*AA37+(1-EXP(-LN(2)/25))/(LN(2)/25)*Calculateur!V38*Calculateur!X38*VLOOKUP('Données projet'!$B$9,Paramètres!$A$1:$I$89,3,0)*0.475*44/12</f>
        <v>10.734656490378301</v>
      </c>
      <c r="AB38" s="21">
        <f>EXP(-LN(2)/2)*AB37+(1-EXP(-LN(2)/2))/(LN(2)/2)*V38*Y38*VLOOKUP('Données projet'!$B$9,Paramètres!$A$1:$I$89,3,0)*0.475*44/12</f>
        <v>0.9626715014909254</v>
      </c>
      <c r="AC38" s="22">
        <f t="shared" si="3"/>
        <v>17.323922693055266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13.7</v>
      </c>
      <c r="AI38" s="13">
        <f>IF('Données projet'!$A$62&gt;35,AI37+AH38-AQ37,IF(A38&lt;'Données projet'!$A$62,$AF$205^A38,IF(A38='Données projet'!$A$62,'Données projet'!$B$62,AI37+AH38-AQ37)))</f>
        <v>216.49999999999994</v>
      </c>
      <c r="AJ38" s="13">
        <f>AI38*VLOOKUP('Données projet'!$B$10,Paramètres!$A$1:$I$89,3,0)*VLOOKUP('Données projet'!$B$10,Paramètres!$A$1:$I$89,5,0)</f>
        <v>129.46699999999998</v>
      </c>
      <c r="AK38" s="13">
        <f t="shared" si="35"/>
        <v>33.873169248083329</v>
      </c>
      <c r="AL38" s="20">
        <f t="shared" si="4"/>
        <v>284.48412810707845</v>
      </c>
      <c r="AM38" s="59">
        <f t="shared" si="5"/>
        <v>577.81746144041176</v>
      </c>
      <c r="AN38" s="59">
        <f ca="1">AVERAGE(OFFSET($AM$3,0,0,'Données projet'!$E$10+1,1))-AVERAGE(OFFSET($H$3,0,0,'Données projet'!$E$10+1,1))</f>
        <v>247.30892363953825</v>
      </c>
      <c r="AO38" s="59">
        <f t="shared" si="36"/>
        <v>248.38414731596578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4.5265341872447351</v>
      </c>
      <c r="AV38" s="21">
        <f>EXP(-LN(2)/25)*AV37+(1-EXP(-LN(2)/25))/(LN(2)/25)*Calculateur!AQ38*Calculateur!AS38*VLOOKUP('Données projet'!$B$10,Paramètres!$A$1:$I$89,3,0)*0.475*44/12</f>
        <v>9.0191240934130139</v>
      </c>
      <c r="AW38" s="21">
        <f>EXP(-LN(2)/2)*AW37+(1-EXP(-LN(2)/2))/(LN(2)/2)*AQ38*AT38*VLOOKUP('Données projet'!$B$10,Paramètres!$A$1:$I$89,3,0)*0.475*44/12</f>
        <v>3.3569603597400897</v>
      </c>
      <c r="AX38" s="21">
        <f t="shared" si="6"/>
        <v>16.90261864039784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23.4</v>
      </c>
      <c r="BD38" s="12">
        <f>IF('Données projet'!$A$88&gt;35,BD37+BC38-BL37,IF(A38&lt;'Données projet'!$A$88,$BA$205^A38,IF(A38='Données projet'!$A$88,'Données projet'!$B$88,BD37+BC38-BL37)))</f>
        <v>332.99999999999989</v>
      </c>
      <c r="BE38" s="13">
        <f>BD38*VLOOKUP('Données projet'!$B$11,Paramètres!$A$1:$I$89,3,0)*VLOOKUP('Données projet'!$B$11,Paramètres!$A$1:$I$89,5,0)</f>
        <v>134.19899999999996</v>
      </c>
      <c r="BF38" s="13">
        <f t="shared" si="37"/>
        <v>34.964822539731379</v>
      </c>
      <c r="BG38" s="20">
        <f t="shared" si="7"/>
        <v>294.62699092336538</v>
      </c>
      <c r="BH38" s="59">
        <f t="shared" si="8"/>
        <v>587.96032425669864</v>
      </c>
      <c r="BI38" s="59">
        <f ca="1">AVERAGE(OFFSET($BH$3,0,0,'Données projet'!$E$11+1,1))-AVERAGE(OFFSET($H$3,0,0,'Données projet'!$E$11+1,1))</f>
        <v>265.97106059040101</v>
      </c>
      <c r="BJ38" s="59">
        <f t="shared" si="38"/>
        <v>240.18718869578237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5.2197280700256892</v>
      </c>
      <c r="BQ38" s="21">
        <f>EXP(-LN(2)/25)*BQ37+(1-EXP(-LN(2)/25))/(LN(2)/25)*Calculateur!BL38*Calculateur!BN38*VLOOKUP('Données projet'!$B$11,Paramètres!$A$1:$I$89,3,0)*0.475*44/12</f>
        <v>9.9945398012226452</v>
      </c>
      <c r="BR38" s="21">
        <f>EXP(-LN(2)/2)*BR37+(1-EXP(-LN(2)/2))/(LN(2)/2)*BL38*BO38*VLOOKUP('Données projet'!$B$11,Paramètres!$A$1:$I$89,3,0)*0.475*44/12</f>
        <v>3.1619257195833108</v>
      </c>
      <c r="BS38" s="22">
        <f t="shared" si="9"/>
        <v>18.376193590831647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13.7</v>
      </c>
      <c r="BY38" s="12">
        <f>IF('Données projet'!$A$114&gt;35,BY37+BX38-CG37,IF(A38&lt;'Données projet'!$A$114,$BV$205^A38,IF(A38='Données projet'!$A$114,'Données projet'!$B$114,BY37+BX38-CG37)))</f>
        <v>216.49999999999994</v>
      </c>
      <c r="BZ38" s="13">
        <f>BY38*VLOOKUP('Données projet'!$B$12,Paramètres!$A$1:$I$89,3,0)*VLOOKUP('Données projet'!$B$12,Paramètres!$A$1:$I$89,5,0)</f>
        <v>129.46699999999998</v>
      </c>
      <c r="CA38" s="13">
        <f t="shared" si="39"/>
        <v>33.873169248083329</v>
      </c>
      <c r="CB38" s="20">
        <f t="shared" si="10"/>
        <v>284.48412810707845</v>
      </c>
      <c r="CC38" s="59">
        <f t="shared" si="11"/>
        <v>577.81746144041176</v>
      </c>
      <c r="CD38" s="59">
        <f ca="1">AVERAGE(OFFSET($CC$3,0,0,'Données projet'!$E$12+1,1))-AVERAGE(OFFSET($H$3,0,0,'Données projet'!$E$12+1,1))</f>
        <v>247.30892363953825</v>
      </c>
      <c r="CE38" s="59">
        <f t="shared" si="40"/>
        <v>248.38414731596578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4.5265341872447351</v>
      </c>
      <c r="CL38" s="21">
        <f>EXP(-LN(2)/25)*CL37+(1-EXP(-LN(2)/25))/(LN(2)/25)*Calculateur!CG38*Calculateur!CI38*VLOOKUP('Données projet'!$B$12,Paramètres!$A$1:$I$89,3,0)*0.475*44/12</f>
        <v>9.0191240934130139</v>
      </c>
      <c r="CM38" s="21">
        <f>EXP(-LN(2)/2)*CM37+(1-EXP(-LN(2)/2))/(LN(2)/2)*CG38*CJ38*VLOOKUP('Données projet'!$B$12,Paramètres!$A$1:$I$89,3,0)*0.475*44/12</f>
        <v>3.3569603597400897</v>
      </c>
      <c r="CN38" s="22">
        <f t="shared" si="12"/>
        <v>16.90261864039784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12.833333333333334</v>
      </c>
      <c r="N39" s="13">
        <f>IF('Données projet'!$A$36&gt;35,N38+M39-V38,IF(A39&lt;'Données projet'!$A$36,$K$205^A39,IF(A39='Données projet'!$A$36,'Données projet'!$B$36,N38+M39-V38)))</f>
        <v>223.66666666666671</v>
      </c>
      <c r="O39" s="13">
        <f>N39*VLOOKUP('Données projet'!$B$9,Paramètres!$A$1:$I$89,3,0)*VLOOKUP('Données projet'!$B$9,Paramètres!$A$1:$I$89,5,0)</f>
        <v>133.75266666666673</v>
      </c>
      <c r="P39" s="13">
        <f t="shared" si="33"/>
        <v>34.86204901776788</v>
      </c>
      <c r="Q39" s="20">
        <f t="shared" si="53"/>
        <v>293.67062981705698</v>
      </c>
      <c r="R39" s="59">
        <f t="shared" si="0"/>
        <v>587.00396315039029</v>
      </c>
      <c r="S39" s="59">
        <f ca="1">AVERAGE(OFFSET($R$3,0,0,'Données projet'!$E$9+1,1))-AVERAGE(OFFSET($H$3,0,0,'Données projet'!$E$9+1,1))</f>
        <v>191.77102466144095</v>
      </c>
      <c r="T39" s="59">
        <f t="shared" si="34"/>
        <v>205.57161411620217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5.5162606109796801</v>
      </c>
      <c r="AA39" s="21">
        <f>EXP(-LN(2)/25)*AA38+(1-EXP(-LN(2)/25))/(LN(2)/25)*Calculateur!V39*Calculateur!X39*VLOOKUP('Données projet'!$B$9,Paramètres!$A$1:$I$89,3,0)*0.475*44/12</f>
        <v>10.441116744137856</v>
      </c>
      <c r="AB39" s="21">
        <f>EXP(-LN(2)/2)*AB38+(1-EXP(-LN(2)/2))/(LN(2)/2)*V39*Y39*VLOOKUP('Données projet'!$B$9,Paramètres!$A$1:$I$89,3,0)*0.475*44/12</f>
        <v>0.68071154675926904</v>
      </c>
      <c r="AC39" s="22">
        <f t="shared" si="3"/>
        <v>16.638088901876806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13.7</v>
      </c>
      <c r="AI39" s="13">
        <f>IF('Données projet'!$A$62&gt;35,AI38+AH39-AQ38,IF(A39&lt;'Données projet'!$A$62,$AF$205^A39,IF(A39='Données projet'!$A$62,'Données projet'!$B$62,AI38+AH39-AQ38)))</f>
        <v>230.19999999999993</v>
      </c>
      <c r="AJ39" s="13">
        <f>AI39*VLOOKUP('Données projet'!$B$10,Paramètres!$A$1:$I$89,3,0)*VLOOKUP('Données projet'!$B$10,Paramètres!$A$1:$I$89,5,0)</f>
        <v>137.65959999999995</v>
      </c>
      <c r="AK39" s="13">
        <f t="shared" si="35"/>
        <v>35.760327802577585</v>
      </c>
      <c r="AL39" s="20">
        <f t="shared" si="4"/>
        <v>302.03970758948918</v>
      </c>
      <c r="AM39" s="59">
        <f t="shared" si="5"/>
        <v>595.3730409228225</v>
      </c>
      <c r="AN39" s="59">
        <f ca="1">AVERAGE(OFFSET($AM$3,0,0,'Données projet'!$E$10+1,1))-AVERAGE(OFFSET($H$3,0,0,'Données projet'!$E$10+1,1))</f>
        <v>247.30892363953825</v>
      </c>
      <c r="AO39" s="59">
        <f t="shared" si="36"/>
        <v>248.38414731596578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4.4377716127461024</v>
      </c>
      <c r="AV39" s="21">
        <f>EXP(-LN(2)/25)*AV38+(1-EXP(-LN(2)/25))/(LN(2)/25)*Calculateur!AQ39*Calculateur!AS39*VLOOKUP('Données projet'!$B$10,Paramètres!$A$1:$I$89,3,0)*0.475*44/12</f>
        <v>8.7724956707835133</v>
      </c>
      <c r="AW39" s="21">
        <f>EXP(-LN(2)/2)*AW38+(1-EXP(-LN(2)/2))/(LN(2)/2)*AQ39*AT39*VLOOKUP('Données projet'!$B$10,Paramètres!$A$1:$I$89,3,0)*0.475*44/12</f>
        <v>2.3737294345466498</v>
      </c>
      <c r="AX39" s="21">
        <f t="shared" si="6"/>
        <v>15.583996718076266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23.4</v>
      </c>
      <c r="BD39" s="12">
        <f>IF('Données projet'!$A$88&gt;35,BD38+BC39-BL38,IF(A39&lt;'Données projet'!$A$88,$BA$205^A39,IF(A39='Données projet'!$A$88,'Données projet'!$B$88,BD38+BC39-BL38)))</f>
        <v>356.39999999999986</v>
      </c>
      <c r="BE39" s="13">
        <f>BD39*VLOOKUP('Données projet'!$B$11,Paramètres!$A$1:$I$89,3,0)*VLOOKUP('Données projet'!$B$11,Paramètres!$A$1:$I$89,5,0)</f>
        <v>143.62919999999994</v>
      </c>
      <c r="BF39" s="13">
        <f t="shared" si="37"/>
        <v>37.127161849234348</v>
      </c>
      <c r="BG39" s="20">
        <f t="shared" si="7"/>
        <v>314.81733022074968</v>
      </c>
      <c r="BH39" s="59">
        <f t="shared" si="8"/>
        <v>608.15066355408294</v>
      </c>
      <c r="BI39" s="59">
        <f ca="1">AVERAGE(OFFSET($BH$3,0,0,'Données projet'!$E$11+1,1))-AVERAGE(OFFSET($H$3,0,0,'Données projet'!$E$11+1,1))</f>
        <v>265.97106059040101</v>
      </c>
      <c r="BJ39" s="59">
        <f t="shared" si="38"/>
        <v>240.18718869578237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5.1173723862922422</v>
      </c>
      <c r="BQ39" s="21">
        <f>EXP(-LN(2)/25)*BQ38+(1-EXP(-LN(2)/25))/(LN(2)/25)*Calculateur!BL39*Calculateur!BN39*VLOOKUP('Données projet'!$B$11,Paramètres!$A$1:$I$89,3,0)*0.475*44/12</f>
        <v>9.7212385847682068</v>
      </c>
      <c r="BR39" s="21">
        <f>EXP(-LN(2)/2)*BR38+(1-EXP(-LN(2)/2))/(LN(2)/2)*BL39*BO39*VLOOKUP('Données projet'!$B$11,Paramètres!$A$1:$I$89,3,0)*0.475*44/12</f>
        <v>2.2358191179255131</v>
      </c>
      <c r="BS39" s="22">
        <f t="shared" si="9"/>
        <v>17.074430088985963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13.7</v>
      </c>
      <c r="BY39" s="12">
        <f>IF('Données projet'!$A$114&gt;35,BY38+BX39-CG38,IF(A39&lt;'Données projet'!$A$114,$BV$205^A39,IF(A39='Données projet'!$A$114,'Données projet'!$B$114,BY38+BX39-CG38)))</f>
        <v>230.19999999999993</v>
      </c>
      <c r="BZ39" s="13">
        <f>BY39*VLOOKUP('Données projet'!$B$12,Paramètres!$A$1:$I$89,3,0)*VLOOKUP('Données projet'!$B$12,Paramètres!$A$1:$I$89,5,0)</f>
        <v>137.65959999999995</v>
      </c>
      <c r="CA39" s="13">
        <f t="shared" si="39"/>
        <v>35.760327802577585</v>
      </c>
      <c r="CB39" s="20">
        <f t="shared" si="10"/>
        <v>302.03970758948918</v>
      </c>
      <c r="CC39" s="59">
        <f t="shared" si="11"/>
        <v>595.3730409228225</v>
      </c>
      <c r="CD39" s="59">
        <f ca="1">AVERAGE(OFFSET($CC$3,0,0,'Données projet'!$E$12+1,1))-AVERAGE(OFFSET($H$3,0,0,'Données projet'!$E$12+1,1))</f>
        <v>247.30892363953825</v>
      </c>
      <c r="CE39" s="59">
        <f t="shared" si="40"/>
        <v>248.38414731596578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4.4377716127461024</v>
      </c>
      <c r="CL39" s="21">
        <f>EXP(-LN(2)/25)*CL38+(1-EXP(-LN(2)/25))/(LN(2)/25)*Calculateur!CG39*Calculateur!CI39*VLOOKUP('Données projet'!$B$12,Paramètres!$A$1:$I$89,3,0)*0.475*44/12</f>
        <v>8.7724956707835133</v>
      </c>
      <c r="CM39" s="21">
        <f>EXP(-LN(2)/2)*CM38+(1-EXP(-LN(2)/2))/(LN(2)/2)*CG39*CJ39*VLOOKUP('Données projet'!$B$12,Paramètres!$A$1:$I$89,3,0)*0.475*44/12</f>
        <v>2.3737294345466498</v>
      </c>
      <c r="CN39" s="22">
        <f t="shared" si="12"/>
        <v>15.583996718076266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12.833333333333334</v>
      </c>
      <c r="N40" s="13">
        <f>IF('Données projet'!$A$36&gt;35,N39+M40-V39,IF(A40&lt;'Données projet'!$A$36,$K$205^A40,IF(A40='Données projet'!$A$36,'Données projet'!$B$36,N39+M40-V39)))</f>
        <v>236.50000000000006</v>
      </c>
      <c r="O40" s="13">
        <f>N40*VLOOKUP('Données projet'!$B$9,Paramètres!$A$1:$I$89,3,0)*VLOOKUP('Données projet'!$B$9,Paramètres!$A$1:$I$89,5,0)</f>
        <v>141.42700000000005</v>
      </c>
      <c r="P40" s="13">
        <f t="shared" si="33"/>
        <v>36.623717959686019</v>
      </c>
      <c r="Q40" s="20">
        <f t="shared" si="53"/>
        <v>310.10500044645323</v>
      </c>
      <c r="R40" s="59">
        <f t="shared" si="0"/>
        <v>603.43833377978649</v>
      </c>
      <c r="S40" s="59">
        <f ca="1">AVERAGE(OFFSET($R$3,0,0,'Données projet'!$E$9+1,1))-AVERAGE(OFFSET($H$3,0,0,'Données projet'!$E$9+1,1))</f>
        <v>191.77102466144095</v>
      </c>
      <c r="T40" s="59">
        <f t="shared" si="34"/>
        <v>205.57161411620217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5.4080901049851162</v>
      </c>
      <c r="AA40" s="21">
        <f>EXP(-LN(2)/25)*AA39+(1-EXP(-LN(2)/25))/(LN(2)/25)*Calculateur!V40*Calculateur!X40*VLOOKUP('Données projet'!$B$9,Paramètres!$A$1:$I$89,3,0)*0.475*44/12</f>
        <v>10.15560385769494</v>
      </c>
      <c r="AB40" s="21">
        <f>EXP(-LN(2)/2)*AB39+(1-EXP(-LN(2)/2))/(LN(2)/2)*V40*Y40*VLOOKUP('Données projet'!$B$9,Paramètres!$A$1:$I$89,3,0)*0.475*44/12</f>
        <v>0.48133575074546281</v>
      </c>
      <c r="AC40" s="22">
        <f t="shared" si="3"/>
        <v>16.045029713425517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13.7</v>
      </c>
      <c r="AI40" s="13">
        <f>IF('Données projet'!$A$62&gt;35,AI39+AH40-AQ39,IF(A40&lt;'Données projet'!$A$62,$AF$205^A40,IF(A40='Données projet'!$A$62,'Données projet'!$B$62,AI39+AH40-AQ39)))</f>
        <v>243.89999999999992</v>
      </c>
      <c r="AJ40" s="13">
        <f>AI40*VLOOKUP('Données projet'!$B$10,Paramètres!$A$1:$I$89,3,0)*VLOOKUP('Données projet'!$B$10,Paramètres!$A$1:$I$89,5,0)</f>
        <v>145.85219999999998</v>
      </c>
      <c r="AK40" s="13">
        <f t="shared" si="35"/>
        <v>37.634450370795903</v>
      </c>
      <c r="AL40" s="20">
        <f t="shared" si="4"/>
        <v>319.57258272913612</v>
      </c>
      <c r="AM40" s="59">
        <f t="shared" si="5"/>
        <v>612.90591606246949</v>
      </c>
      <c r="AN40" s="59">
        <f ca="1">AVERAGE(OFFSET($AM$3,0,0,'Données projet'!$E$10+1,1))-AVERAGE(OFFSET($H$3,0,0,'Données projet'!$E$10+1,1))</f>
        <v>247.30892363953825</v>
      </c>
      <c r="AO40" s="59">
        <f t="shared" si="36"/>
        <v>248.38414731596578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4.3507496181935634</v>
      </c>
      <c r="AV40" s="21">
        <f>EXP(-LN(2)/25)*AV39+(1-EXP(-LN(2)/25))/(LN(2)/25)*Calculateur!AQ40*Calculateur!AS40*VLOOKUP('Données projet'!$B$10,Paramètres!$A$1:$I$89,3,0)*0.475*44/12</f>
        <v>8.532611315340441</v>
      </c>
      <c r="AW40" s="21">
        <f>EXP(-LN(2)/2)*AW39+(1-EXP(-LN(2)/2))/(LN(2)/2)*AQ40*AT40*VLOOKUP('Données projet'!$B$10,Paramètres!$A$1:$I$89,3,0)*0.475*44/12</f>
        <v>1.6784801798700453</v>
      </c>
      <c r="AX40" s="21">
        <f t="shared" si="6"/>
        <v>14.561841113404048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23.4</v>
      </c>
      <c r="BD40" s="12">
        <f>IF('Données projet'!$A$88&gt;35,BD39+BC40-BL39,IF(A40&lt;'Données projet'!$A$88,$BA$205^A40,IF(A40='Données projet'!$A$88,'Données projet'!$B$88,BD39+BC40-BL39)))</f>
        <v>379.79999999999984</v>
      </c>
      <c r="BE40" s="13">
        <f>BD40*VLOOKUP('Données projet'!$B$11,Paramètres!$A$1:$I$89,3,0)*VLOOKUP('Données projet'!$B$11,Paramètres!$A$1:$I$89,5,0)</f>
        <v>153.05939999999995</v>
      </c>
      <c r="BF40" s="13">
        <f t="shared" si="37"/>
        <v>39.273026140446035</v>
      </c>
      <c r="BG40" s="20">
        <f t="shared" si="7"/>
        <v>334.97897552794342</v>
      </c>
      <c r="BH40" s="59">
        <f t="shared" si="8"/>
        <v>628.31230886127673</v>
      </c>
      <c r="BI40" s="59">
        <f ca="1">AVERAGE(OFFSET($BH$3,0,0,'Données projet'!$E$11+1,1))-AVERAGE(OFFSET($H$3,0,0,'Données projet'!$E$11+1,1))</f>
        <v>265.97106059040101</v>
      </c>
      <c r="BJ40" s="59">
        <f t="shared" si="38"/>
        <v>240.18718869578237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5.0170238350860057</v>
      </c>
      <c r="BQ40" s="21">
        <f>EXP(-LN(2)/25)*BQ39+(1-EXP(-LN(2)/25))/(LN(2)/25)*Calculateur!BL40*Calculateur!BN40*VLOOKUP('Données projet'!$B$11,Paramètres!$A$1:$I$89,3,0)*0.475*44/12</f>
        <v>9.4554108044500005</v>
      </c>
      <c r="BR40" s="21">
        <f>EXP(-LN(2)/2)*BR39+(1-EXP(-LN(2)/2))/(LN(2)/2)*BL40*BO40*VLOOKUP('Données projet'!$B$11,Paramètres!$A$1:$I$89,3,0)*0.475*44/12</f>
        <v>1.5809628597916556</v>
      </c>
      <c r="BS40" s="22">
        <f t="shared" si="9"/>
        <v>16.053397499327662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13.7</v>
      </c>
      <c r="BY40" s="12">
        <f>IF('Données projet'!$A$114&gt;35,BY39+BX40-CG39,IF(A40&lt;'Données projet'!$A$114,$BV$205^A40,IF(A40='Données projet'!$A$114,'Données projet'!$B$114,BY39+BX40-CG39)))</f>
        <v>243.89999999999992</v>
      </c>
      <c r="BZ40" s="13">
        <f>BY40*VLOOKUP('Données projet'!$B$12,Paramètres!$A$1:$I$89,3,0)*VLOOKUP('Données projet'!$B$12,Paramètres!$A$1:$I$89,5,0)</f>
        <v>145.85219999999998</v>
      </c>
      <c r="CA40" s="13">
        <f t="shared" si="39"/>
        <v>37.634450370795903</v>
      </c>
      <c r="CB40" s="20">
        <f t="shared" si="10"/>
        <v>319.57258272913612</v>
      </c>
      <c r="CC40" s="59">
        <f t="shared" si="11"/>
        <v>612.90591606246949</v>
      </c>
      <c r="CD40" s="59">
        <f ca="1">AVERAGE(OFFSET($CC$3,0,0,'Données projet'!$E$12+1,1))-AVERAGE(OFFSET($H$3,0,0,'Données projet'!$E$12+1,1))</f>
        <v>247.30892363953825</v>
      </c>
      <c r="CE40" s="59">
        <f t="shared" si="40"/>
        <v>248.38414731596578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4.3507496181935634</v>
      </c>
      <c r="CL40" s="21">
        <f>EXP(-LN(2)/25)*CL39+(1-EXP(-LN(2)/25))/(LN(2)/25)*Calculateur!CG40*Calculateur!CI40*VLOOKUP('Données projet'!$B$12,Paramètres!$A$1:$I$89,3,0)*0.475*44/12</f>
        <v>8.532611315340441</v>
      </c>
      <c r="CM40" s="21">
        <f>EXP(-LN(2)/2)*CM39+(1-EXP(-LN(2)/2))/(LN(2)/2)*CG40*CJ40*VLOOKUP('Données projet'!$B$12,Paramètres!$A$1:$I$89,3,0)*0.475*44/12</f>
        <v>1.6784801798700453</v>
      </c>
      <c r="CN40" s="22">
        <f t="shared" si="12"/>
        <v>14.561841113404048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12.833333333333334</v>
      </c>
      <c r="N41" s="13">
        <f>IF('Données projet'!$A$36&gt;35,N40+M41-V40,IF(A41&lt;'Données projet'!$A$36,$K$205^A41,IF(A41='Données projet'!$A$36,'Données projet'!$B$36,N40+M41-V40)))</f>
        <v>249.3333333333334</v>
      </c>
      <c r="O41" s="13">
        <f>N41*VLOOKUP('Données projet'!$B$9,Paramètres!$A$1:$I$89,3,0)*VLOOKUP('Données projet'!$B$9,Paramètres!$A$1:$I$89,5,0)</f>
        <v>149.1013333333334</v>
      </c>
      <c r="P41" s="13">
        <f t="shared" si="33"/>
        <v>38.37428902704788</v>
      </c>
      <c r="Q41" s="20">
        <f t="shared" si="53"/>
        <v>326.52004227766406</v>
      </c>
      <c r="R41" s="59">
        <f t="shared" si="0"/>
        <v>619.85337561099732</v>
      </c>
      <c r="S41" s="59">
        <f ca="1">AVERAGE(OFFSET($R$3,0,0,'Données projet'!$E$9+1,1))-AVERAGE(OFFSET($H$3,0,0,'Données projet'!$E$9+1,1))</f>
        <v>191.77102466144095</v>
      </c>
      <c r="T41" s="59">
        <f t="shared" si="34"/>
        <v>205.57161411620217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5.3020407566356118</v>
      </c>
      <c r="AA41" s="21">
        <f>EXP(-LN(2)/25)*AA40+(1-EXP(-LN(2)/25))/(LN(2)/25)*Calculateur!V41*Calculateur!X41*VLOOKUP('Données projet'!$B$9,Paramètres!$A$1:$I$89,3,0)*0.475*44/12</f>
        <v>9.8778983361462753</v>
      </c>
      <c r="AB41" s="21">
        <f>EXP(-LN(2)/2)*AB40+(1-EXP(-LN(2)/2))/(LN(2)/2)*V41*Y41*VLOOKUP('Données projet'!$B$9,Paramètres!$A$1:$I$89,3,0)*0.475*44/12</f>
        <v>0.34035577337963457</v>
      </c>
      <c r="AC41" s="22">
        <f t="shared" si="3"/>
        <v>15.520294866161521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13.7</v>
      </c>
      <c r="AI41" s="13">
        <f>IF('Données projet'!$A$62&gt;35,AI40+AH41-AQ40,IF(A41&lt;'Données projet'!$A$62,$AF$205^A41,IF(A41='Données projet'!$A$62,'Données projet'!$B$62,AI40+AH41-AQ40)))</f>
        <v>257.59999999999991</v>
      </c>
      <c r="AJ41" s="13">
        <f>AI41*VLOOKUP('Données projet'!$B$10,Paramètres!$A$1:$I$89,3,0)*VLOOKUP('Données projet'!$B$10,Paramètres!$A$1:$I$89,5,0)</f>
        <v>154.04479999999995</v>
      </c>
      <c r="AK41" s="13">
        <f t="shared" si="35"/>
        <v>39.496352638742984</v>
      </c>
      <c r="AL41" s="20">
        <f t="shared" si="4"/>
        <v>337.08417417914399</v>
      </c>
      <c r="AM41" s="59">
        <f t="shared" si="5"/>
        <v>630.4175075124773</v>
      </c>
      <c r="AN41" s="59">
        <f ca="1">AVERAGE(OFFSET($AM$3,0,0,'Données projet'!$E$10+1,1))-AVERAGE(OFFSET($H$3,0,0,'Données projet'!$E$10+1,1))</f>
        <v>247.30892363953825</v>
      </c>
      <c r="AO41" s="59">
        <f t="shared" si="36"/>
        <v>248.38414731596578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4.2654340718760242</v>
      </c>
      <c r="AV41" s="21">
        <f>EXP(-LN(2)/25)*AV40+(1-EXP(-LN(2)/25))/(LN(2)/25)*Calculateur!AQ41*Calculateur!AS41*VLOOKUP('Données projet'!$B$10,Paramètres!$A$1:$I$89,3,0)*0.475*44/12</f>
        <v>8.2992866102119294</v>
      </c>
      <c r="AW41" s="21">
        <f>EXP(-LN(2)/2)*AW40+(1-EXP(-LN(2)/2))/(LN(2)/2)*AQ41*AT41*VLOOKUP('Données projet'!$B$10,Paramètres!$A$1:$I$89,3,0)*0.475*44/12</f>
        <v>1.1868647172733251</v>
      </c>
      <c r="AX41" s="21">
        <f t="shared" si="6"/>
        <v>13.751585399361279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23.4</v>
      </c>
      <c r="BD41" s="12">
        <f>IF('Données projet'!$A$88&gt;35,BD40+BC41-BL40,IF(A41&lt;'Données projet'!$A$88,$BA$205^A41,IF(A41='Données projet'!$A$88,'Données projet'!$B$88,BD40+BC41-BL40)))</f>
        <v>403.19999999999982</v>
      </c>
      <c r="BE41" s="13">
        <f>BD41*VLOOKUP('Données projet'!$B$11,Paramètres!$A$1:$I$89,3,0)*VLOOKUP('Données projet'!$B$11,Paramètres!$A$1:$I$89,5,0)</f>
        <v>162.48959999999994</v>
      </c>
      <c r="BF41" s="13">
        <f t="shared" si="37"/>
        <v>41.403546033820696</v>
      </c>
      <c r="BG41" s="20">
        <f t="shared" si="7"/>
        <v>355.11389600890425</v>
      </c>
      <c r="BH41" s="59">
        <f t="shared" si="8"/>
        <v>648.44722934223751</v>
      </c>
      <c r="BI41" s="59">
        <f ca="1">AVERAGE(OFFSET($BH$3,0,0,'Données projet'!$E$11+1,1))-AVERAGE(OFFSET($H$3,0,0,'Données projet'!$E$11+1,1))</f>
        <v>265.97106059040101</v>
      </c>
      <c r="BJ41" s="59">
        <f t="shared" si="38"/>
        <v>240.18718869578237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4.9186430577623508</v>
      </c>
      <c r="BQ41" s="21">
        <f>EXP(-LN(2)/25)*BQ40+(1-EXP(-LN(2)/25))/(LN(2)/25)*Calculateur!BL41*Calculateur!BN41*VLOOKUP('Données projet'!$B$11,Paramètres!$A$1:$I$89,3,0)*0.475*44/12</f>
        <v>9.1968520987638716</v>
      </c>
      <c r="BR41" s="21">
        <f>EXP(-LN(2)/2)*BR40+(1-EXP(-LN(2)/2))/(LN(2)/2)*BL41*BO41*VLOOKUP('Données projet'!$B$11,Paramètres!$A$1:$I$89,3,0)*0.475*44/12</f>
        <v>1.1179095589627568</v>
      </c>
      <c r="BS41" s="22">
        <f t="shared" si="9"/>
        <v>15.233404715488978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13.7</v>
      </c>
      <c r="BY41" s="12">
        <f>IF('Données projet'!$A$114&gt;35,BY40+BX41-CG40,IF(A41&lt;'Données projet'!$A$114,$BV$205^A41,IF(A41='Données projet'!$A$114,'Données projet'!$B$114,BY40+BX41-CG40)))</f>
        <v>257.59999999999991</v>
      </c>
      <c r="BZ41" s="13">
        <f>BY41*VLOOKUP('Données projet'!$B$12,Paramètres!$A$1:$I$89,3,0)*VLOOKUP('Données projet'!$B$12,Paramètres!$A$1:$I$89,5,0)</f>
        <v>154.04479999999995</v>
      </c>
      <c r="CA41" s="13">
        <f t="shared" si="39"/>
        <v>39.496352638742984</v>
      </c>
      <c r="CB41" s="20">
        <f t="shared" si="10"/>
        <v>337.08417417914399</v>
      </c>
      <c r="CC41" s="59">
        <f t="shared" si="11"/>
        <v>630.4175075124773</v>
      </c>
      <c r="CD41" s="59">
        <f ca="1">AVERAGE(OFFSET($CC$3,0,0,'Données projet'!$E$12+1,1))-AVERAGE(OFFSET($H$3,0,0,'Données projet'!$E$12+1,1))</f>
        <v>247.30892363953825</v>
      </c>
      <c r="CE41" s="59">
        <f t="shared" si="40"/>
        <v>248.38414731596578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4.2654340718760242</v>
      </c>
      <c r="CL41" s="21">
        <f>EXP(-LN(2)/25)*CL40+(1-EXP(-LN(2)/25))/(LN(2)/25)*Calculateur!CG41*Calculateur!CI41*VLOOKUP('Données projet'!$B$12,Paramètres!$A$1:$I$89,3,0)*0.475*44/12</f>
        <v>8.2992866102119294</v>
      </c>
      <c r="CM41" s="21">
        <f>EXP(-LN(2)/2)*CM40+(1-EXP(-LN(2)/2))/(LN(2)/2)*CG41*CJ41*VLOOKUP('Données projet'!$B$12,Paramètres!$A$1:$I$89,3,0)*0.475*44/12</f>
        <v>1.1868647172733251</v>
      </c>
      <c r="CN41" s="22">
        <f t="shared" si="12"/>
        <v>13.751585399361279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12.833333333333334</v>
      </c>
      <c r="N42" s="13">
        <f>IF('Données projet'!$A$36&gt;35,N41+M42-V41,IF(A42&lt;'Données projet'!$A$36,$K$205^A42,IF(A42='Données projet'!$A$36,'Données projet'!$B$36,N41+M42-V41)))</f>
        <v>262.16666666666674</v>
      </c>
      <c r="O42" s="13">
        <f>N42*VLOOKUP('Données projet'!$B$9,Paramètres!$A$1:$I$89,3,0)*VLOOKUP('Données projet'!$B$9,Paramètres!$A$1:$I$89,5,0)</f>
        <v>156.77566666666672</v>
      </c>
      <c r="P42" s="13">
        <f t="shared" si="33"/>
        <v>40.114398592763365</v>
      </c>
      <c r="Q42" s="20">
        <f t="shared" si="53"/>
        <v>342.9168636601741</v>
      </c>
      <c r="R42" s="59">
        <f t="shared" si="0"/>
        <v>636.25019699350742</v>
      </c>
      <c r="S42" s="59">
        <f ca="1">AVERAGE(OFFSET($R$3,0,0,'Données projet'!$E$9+1,1))-AVERAGE(OFFSET($H$3,0,0,'Données projet'!$E$9+1,1))</f>
        <v>191.77102466144095</v>
      </c>
      <c r="T42" s="59">
        <f t="shared" si="34"/>
        <v>205.57161411620217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5.1980709713235251</v>
      </c>
      <c r="AA42" s="21">
        <f>EXP(-LN(2)/25)*AA41+(1-EXP(-LN(2)/25))/(LN(2)/25)*Calculateur!V42*Calculateur!X42*VLOOKUP('Données projet'!$B$9,Paramètres!$A$1:$I$89,3,0)*0.475*44/12</f>
        <v>9.6077866866882573</v>
      </c>
      <c r="AB42" s="21">
        <f>EXP(-LN(2)/2)*AB41+(1-EXP(-LN(2)/2))/(LN(2)/2)*V42*Y42*VLOOKUP('Données projet'!$B$9,Paramètres!$A$1:$I$89,3,0)*0.475*44/12</f>
        <v>0.24066787537273143</v>
      </c>
      <c r="AC42" s="22">
        <f t="shared" si="3"/>
        <v>15.046525533384512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13.7</v>
      </c>
      <c r="AI42" s="13">
        <f>IF('Données projet'!$A$62&gt;35,AI41+AH42-AQ41,IF(A42&lt;'Données projet'!$A$62,$AF$205^A42,IF(A42='Données projet'!$A$62,'Données projet'!$B$62,AI41+AH42-AQ41)))</f>
        <v>271.2999999999999</v>
      </c>
      <c r="AJ42" s="13">
        <f>AI42*VLOOKUP('Données projet'!$B$10,Paramètres!$A$1:$I$89,3,0)*VLOOKUP('Données projet'!$B$10,Paramètres!$A$1:$I$89,5,0)</f>
        <v>162.23739999999995</v>
      </c>
      <c r="AK42" s="13">
        <f t="shared" si="35"/>
        <v>41.346758630600348</v>
      </c>
      <c r="AL42" s="20">
        <f t="shared" si="4"/>
        <v>354.57574294829556</v>
      </c>
      <c r="AM42" s="59">
        <f t="shared" si="5"/>
        <v>647.90907628162881</v>
      </c>
      <c r="AN42" s="59">
        <f ca="1">AVERAGE(OFFSET($AM$3,0,0,'Données projet'!$E$10+1,1))-AVERAGE(OFFSET($H$3,0,0,'Données projet'!$E$10+1,1))</f>
        <v>247.30892363953825</v>
      </c>
      <c r="AO42" s="59">
        <f t="shared" si="36"/>
        <v>248.38414731596578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4.1817915113844268</v>
      </c>
      <c r="AV42" s="21">
        <f>EXP(-LN(2)/25)*AV41+(1-EXP(-LN(2)/25))/(LN(2)/25)*Calculateur!AQ42*Calculateur!AS42*VLOOKUP('Données projet'!$B$10,Paramètres!$A$1:$I$89,3,0)*0.475*44/12</f>
        <v>8.0723421814151699</v>
      </c>
      <c r="AW42" s="21">
        <f>EXP(-LN(2)/2)*AW41+(1-EXP(-LN(2)/2))/(LN(2)/2)*AQ42*AT42*VLOOKUP('Données projet'!$B$10,Paramètres!$A$1:$I$89,3,0)*0.475*44/12</f>
        <v>0.83924008993502275</v>
      </c>
      <c r="AX42" s="21">
        <f t="shared" si="6"/>
        <v>13.09337378273462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23.4</v>
      </c>
      <c r="BD42" s="12">
        <f>IF('Données projet'!$A$88&gt;35,BD41+BC42-BL41,IF(A42&lt;'Données projet'!$A$88,$BA$205^A42,IF(A42='Données projet'!$A$88,'Données projet'!$B$88,BD41+BC42-BL41)))</f>
        <v>426.5999999999998</v>
      </c>
      <c r="BE42" s="13">
        <f>BD42*VLOOKUP('Données projet'!$B$11,Paramètres!$A$1:$I$89,3,0)*VLOOKUP('Données projet'!$B$11,Paramètres!$A$1:$I$89,5,0)</f>
        <v>171.9197999999999</v>
      </c>
      <c r="BF42" s="13">
        <f t="shared" si="37"/>
        <v>43.519713504182945</v>
      </c>
      <c r="BG42" s="20">
        <f t="shared" si="7"/>
        <v>375.22381935311847</v>
      </c>
      <c r="BH42" s="59">
        <f t="shared" si="8"/>
        <v>668.55715268645179</v>
      </c>
      <c r="BI42" s="59">
        <f ca="1">AVERAGE(OFFSET($BH$3,0,0,'Données projet'!$E$11+1,1))-AVERAGE(OFFSET($H$3,0,0,'Données projet'!$E$11+1,1))</f>
        <v>265.97106059040101</v>
      </c>
      <c r="BJ42" s="59">
        <f t="shared" si="38"/>
        <v>240.18718869578237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4.8221914674756636</v>
      </c>
      <c r="BQ42" s="21">
        <f>EXP(-LN(2)/25)*BQ41+(1-EXP(-LN(2)/25))/(LN(2)/25)*Calculateur!BL42*Calculateur!BN42*VLOOKUP('Données projet'!$B$11,Paramètres!$A$1:$I$89,3,0)*0.475*44/12</f>
        <v>8.9453636944817418</v>
      </c>
      <c r="BR42" s="21">
        <f>EXP(-LN(2)/2)*BR41+(1-EXP(-LN(2)/2))/(LN(2)/2)*BL42*BO42*VLOOKUP('Données projet'!$B$11,Paramètres!$A$1:$I$89,3,0)*0.475*44/12</f>
        <v>0.79048142989582793</v>
      </c>
      <c r="BS42" s="22">
        <f t="shared" si="9"/>
        <v>14.558036591853233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13.7</v>
      </c>
      <c r="BY42" s="12">
        <f>IF('Données projet'!$A$114&gt;35,BY41+BX42-CG41,IF(A42&lt;'Données projet'!$A$114,$BV$205^A42,IF(A42='Données projet'!$A$114,'Données projet'!$B$114,BY41+BX42-CG41)))</f>
        <v>271.2999999999999</v>
      </c>
      <c r="BZ42" s="13">
        <f>BY42*VLOOKUP('Données projet'!$B$12,Paramètres!$A$1:$I$89,3,0)*VLOOKUP('Données projet'!$B$12,Paramètres!$A$1:$I$89,5,0)</f>
        <v>162.23739999999995</v>
      </c>
      <c r="CA42" s="13">
        <f t="shared" si="39"/>
        <v>41.346758630600348</v>
      </c>
      <c r="CB42" s="20">
        <f t="shared" si="10"/>
        <v>354.57574294829556</v>
      </c>
      <c r="CC42" s="59">
        <f t="shared" si="11"/>
        <v>647.90907628162881</v>
      </c>
      <c r="CD42" s="59">
        <f ca="1">AVERAGE(OFFSET($CC$3,0,0,'Données projet'!$E$12+1,1))-AVERAGE(OFFSET($H$3,0,0,'Données projet'!$E$12+1,1))</f>
        <v>247.30892363953825</v>
      </c>
      <c r="CE42" s="59">
        <f t="shared" si="40"/>
        <v>248.38414731596578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4.1817915113844268</v>
      </c>
      <c r="CL42" s="21">
        <f>EXP(-LN(2)/25)*CL41+(1-EXP(-LN(2)/25))/(LN(2)/25)*Calculateur!CG42*Calculateur!CI42*VLOOKUP('Données projet'!$B$12,Paramètres!$A$1:$I$89,3,0)*0.475*44/12</f>
        <v>8.0723421814151699</v>
      </c>
      <c r="CM42" s="21">
        <f>EXP(-LN(2)/2)*CM41+(1-EXP(-LN(2)/2))/(LN(2)/2)*CG42*CJ42*VLOOKUP('Données projet'!$B$12,Paramètres!$A$1:$I$89,3,0)*0.475*44/12</f>
        <v>0.83924008993502275</v>
      </c>
      <c r="CN42" s="22">
        <f t="shared" si="12"/>
        <v>13.09337378273462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275</v>
      </c>
      <c r="L43" s="12">
        <f>VLOOKUP(A43,'Données projet'!$A$35:$I$55,9,0)</f>
        <v>12.833333333333334</v>
      </c>
      <c r="M43" s="12">
        <f t="array" ref="M43">INDEX(L:L,MIN(IF(ISNUMBER(L43:L239),ROW(L43:L239),"")))</f>
        <v>12.833333333333334</v>
      </c>
      <c r="N43" s="13">
        <f>IF('Données projet'!$A$36&gt;35,N42+M43-V42,IF(A43&lt;'Données projet'!$A$36,$K$205^A43,IF(A43='Données projet'!$A$36,'Données projet'!$B$36,N42+M43-V42)))</f>
        <v>275.00000000000006</v>
      </c>
      <c r="O43" s="13">
        <f>N43*VLOOKUP('Données projet'!$B$9,Paramètres!$A$1:$I$89,3,0)*VLOOKUP('Données projet'!$B$9,Paramètres!$A$1:$I$89,5,0)</f>
        <v>164.45000000000005</v>
      </c>
      <c r="P43" s="13">
        <f t="shared" si="33"/>
        <v>41.844617207687371</v>
      </c>
      <c r="Q43" s="20">
        <f t="shared" si="53"/>
        <v>359.29645830338887</v>
      </c>
      <c r="R43" s="59">
        <f t="shared" si="0"/>
        <v>652.62979163672219</v>
      </c>
      <c r="S43" s="59">
        <f ca="1">AVERAGE(OFFSET($R$3,0,0,'Données projet'!$E$9+1,1))-AVERAGE(OFFSET($H$3,0,0,'Données projet'!$E$9+1,1))</f>
        <v>191.77102466144095</v>
      </c>
      <c r="T43" s="59">
        <f t="shared" si="34"/>
        <v>205.57161411620217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41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5.0961399700861012</v>
      </c>
      <c r="AA43" s="21">
        <f>EXP(-LN(2)/25)*AA42+(1-EXP(-LN(2)/25))/(LN(2)/25)*Calculateur!V43*Calculateur!X43*VLOOKUP('Données projet'!$B$9,Paramètres!$A$1:$I$89,3,0)*0.475*44/12</f>
        <v>9.3450612544892238</v>
      </c>
      <c r="AB43" s="21">
        <f>EXP(-LN(2)/2)*AB42+(1-EXP(-LN(2)/2))/(LN(2)/2)*V43*Y43*VLOOKUP('Données projet'!$B$9,Paramètres!$A$1:$I$89,3,0)*0.475*44/12</f>
        <v>0.17017788668981731</v>
      </c>
      <c r="AC43" s="22">
        <f t="shared" si="3"/>
        <v>14.611379111265142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285</v>
      </c>
      <c r="AG43" s="12">
        <f>VLOOKUP(A43,'Données projet'!$A$61:$I$81,9,0)</f>
        <v>13.7</v>
      </c>
      <c r="AH43" s="12">
        <f t="array" ref="AH43">INDEX(AG:AG,MIN(IF(ISNUMBER(AG43:AG239),ROW(AG43:AG239),"")))</f>
        <v>13.7</v>
      </c>
      <c r="AI43" s="13">
        <f>IF('Données projet'!$A$62&gt;35,AI42+AH43-AQ42,IF(A43&lt;'Données projet'!$A$62,$AF$205^A43,IF(A43='Données projet'!$A$62,'Données projet'!$B$62,AI42+AH43-AQ42)))</f>
        <v>284.99999999999989</v>
      </c>
      <c r="AJ43" s="13">
        <f>AI43*VLOOKUP('Données projet'!$B$10,Paramètres!$A$1:$I$89,3,0)*VLOOKUP('Données projet'!$B$10,Paramètres!$A$1:$I$89,5,0)</f>
        <v>170.42999999999995</v>
      </c>
      <c r="AK43" s="13">
        <f t="shared" si="35"/>
        <v>43.186315117079396</v>
      </c>
      <c r="AL43" s="20">
        <f t="shared" si="4"/>
        <v>372.04841549557983</v>
      </c>
      <c r="AM43" s="59">
        <f t="shared" si="5"/>
        <v>665.38174882891315</v>
      </c>
      <c r="AN43" s="59">
        <f ca="1">AVERAGE(OFFSET($AM$3,0,0,'Données projet'!$E$10+1,1))-AVERAGE(OFFSET($H$3,0,0,'Données projet'!$E$10+1,1))</f>
        <v>247.30892363953825</v>
      </c>
      <c r="AO43" s="59">
        <f t="shared" si="36"/>
        <v>248.38414731596578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4.099789130487145</v>
      </c>
      <c r="AV43" s="21">
        <f>EXP(-LN(2)/25)*AV42+(1-EXP(-LN(2)/25))/(LN(2)/25)*Calculateur!AQ43*Calculateur!AS43*VLOOKUP('Données projet'!$B$10,Paramètres!$A$1:$I$89,3,0)*0.475*44/12</f>
        <v>7.8516035599583462</v>
      </c>
      <c r="AW43" s="21">
        <f>EXP(-LN(2)/2)*AW42+(1-EXP(-LN(2)/2))/(LN(2)/2)*AQ43*AT43*VLOOKUP('Données projet'!$B$10,Paramètres!$A$1:$I$89,3,0)*0.475*44/12</f>
        <v>0.59343235863666266</v>
      </c>
      <c r="AX43" s="21">
        <f t="shared" si="6"/>
        <v>12.544825049082155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450</v>
      </c>
      <c r="BB43" s="12">
        <f>VLOOKUP(A43,'Données projet'!$A$87:$I$107,9,0)</f>
        <v>23.4</v>
      </c>
      <c r="BC43" s="12">
        <f t="array" ref="BC43">INDEX(BB:BB,MIN(IF(ISNUMBER(BB43:BB239),ROW(BB43:BB239),"")))</f>
        <v>23.4</v>
      </c>
      <c r="BD43" s="12">
        <f>IF('Données projet'!$A$88&gt;35,BD42+BC43-BL42,IF(A43&lt;'Données projet'!$A$88,$BA$205^A43,IF(A43='Données projet'!$A$88,'Données projet'!$B$88,BD42+BC43-BL42)))</f>
        <v>449.99999999999977</v>
      </c>
      <c r="BE43" s="13">
        <f>BD43*VLOOKUP('Données projet'!$B$11,Paramètres!$A$1:$I$89,3,0)*VLOOKUP('Données projet'!$B$11,Paramètres!$A$1:$I$89,5,0)</f>
        <v>181.34999999999991</v>
      </c>
      <c r="BF43" s="13">
        <f t="shared" si="37"/>
        <v>45.622405555921837</v>
      </c>
      <c r="BG43" s="20">
        <f t="shared" si="7"/>
        <v>395.310273009897</v>
      </c>
      <c r="BH43" s="59">
        <f t="shared" si="8"/>
        <v>688.64360634323032</v>
      </c>
      <c r="BI43" s="59">
        <f ca="1">AVERAGE(OFFSET($BH$3,0,0,'Données projet'!$E$11+1,1))-AVERAGE(OFFSET($H$3,0,0,'Données projet'!$E$11+1,1))</f>
        <v>265.97106059040101</v>
      </c>
      <c r="BJ43" s="59">
        <f t="shared" si="38"/>
        <v>240.18718869578237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112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4.7276312340448374</v>
      </c>
      <c r="BQ43" s="21">
        <f>EXP(-LN(2)/25)*BQ42+(1-EXP(-LN(2)/25))/(LN(2)/25)*Calculateur!BL43*Calculateur!BN43*VLOOKUP('Données projet'!$B$11,Paramètres!$A$1:$I$89,3,0)*0.475*44/12</f>
        <v>8.7007522538399069</v>
      </c>
      <c r="BR43" s="21">
        <f>EXP(-LN(2)/2)*BR42+(1-EXP(-LN(2)/2))/(LN(2)/2)*BL43*BO43*VLOOKUP('Données projet'!$B$11,Paramètres!$A$1:$I$89,3,0)*0.475*44/12</f>
        <v>0.55895477948137839</v>
      </c>
      <c r="BS43" s="22">
        <f t="shared" si="9"/>
        <v>13.987338267366123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285</v>
      </c>
      <c r="BW43" s="12">
        <f>VLOOKUP(A43,'Données projet'!$A$113:$I$133,9,0)</f>
        <v>13.7</v>
      </c>
      <c r="BX43" s="12">
        <f t="array" ref="BX43">INDEX(BW:BW,MIN(IF(ISNUMBER(BW43:BW239),ROW(BW43:BW239),"")))</f>
        <v>13.7</v>
      </c>
      <c r="BY43" s="12">
        <f>IF('Données projet'!$A$114&gt;35,BY42+BX43-CG42,IF(A43&lt;'Données projet'!$A$114,$BV$205^A43,IF(A43='Données projet'!$A$114,'Données projet'!$B$114,BY42+BX43-CG42)))</f>
        <v>284.99999999999989</v>
      </c>
      <c r="BZ43" s="13">
        <f>BY43*VLOOKUP('Données projet'!$B$12,Paramètres!$A$1:$I$89,3,0)*VLOOKUP('Données projet'!$B$12,Paramètres!$A$1:$I$89,5,0)</f>
        <v>170.42999999999995</v>
      </c>
      <c r="CA43" s="13">
        <f t="shared" si="39"/>
        <v>43.186315117079396</v>
      </c>
      <c r="CB43" s="20">
        <f t="shared" si="10"/>
        <v>372.04841549557983</v>
      </c>
      <c r="CC43" s="59">
        <f t="shared" si="11"/>
        <v>665.38174882891315</v>
      </c>
      <c r="CD43" s="59">
        <f ca="1">AVERAGE(OFFSET($CC$3,0,0,'Données projet'!$E$12+1,1))-AVERAGE(OFFSET($H$3,0,0,'Données projet'!$E$12+1,1))</f>
        <v>247.30892363953825</v>
      </c>
      <c r="CE43" s="59">
        <f t="shared" si="40"/>
        <v>248.38414731596578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70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4.099789130487145</v>
      </c>
      <c r="CL43" s="21">
        <f>EXP(-LN(2)/25)*CL42+(1-EXP(-LN(2)/25))/(LN(2)/25)*Calculateur!CG43*Calculateur!CI43*VLOOKUP('Données projet'!$B$12,Paramètres!$A$1:$I$89,3,0)*0.475*44/12</f>
        <v>7.8516035599583462</v>
      </c>
      <c r="CM43" s="21">
        <f>EXP(-LN(2)/2)*CM42+(1-EXP(-LN(2)/2))/(LN(2)/2)*CG43*CJ43*VLOOKUP('Données projet'!$B$12,Paramètres!$A$1:$I$89,3,0)*0.475*44/12</f>
        <v>0.59343235863666266</v>
      </c>
      <c r="CN43" s="22">
        <f t="shared" si="12"/>
        <v>12.544825049082155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9.8333333333333339</v>
      </c>
      <c r="N44" s="13">
        <f>IF('Données projet'!$A$36&gt;35,N43+M44-V43,IF(A44&lt;'Données projet'!$A$36,$K$205^A44,IF(A44='Données projet'!$A$36,'Données projet'!$B$36,N43+M44-V43)))</f>
        <v>243.83333333333337</v>
      </c>
      <c r="O44" s="13">
        <f>N44*VLOOKUP('Données projet'!$B$9,Paramètres!$A$1:$I$89,3,0)*VLOOKUP('Données projet'!$B$9,Paramètres!$A$1:$I$89,5,0)</f>
        <v>145.81233333333336</v>
      </c>
      <c r="P44" s="13">
        <f t="shared" si="33"/>
        <v>37.625360763194948</v>
      </c>
      <c r="Q44" s="20">
        <f t="shared" si="53"/>
        <v>319.4873172181201</v>
      </c>
      <c r="R44" s="59">
        <f t="shared" si="0"/>
        <v>612.82065055145335</v>
      </c>
      <c r="S44" s="59">
        <f ca="1">AVERAGE(OFFSET($R$3,0,0,'Données projet'!$E$9+1,1))-AVERAGE(OFFSET($H$3,0,0,'Données projet'!$E$9+1,1))</f>
        <v>191.77102466144095</v>
      </c>
      <c r="T44" s="59">
        <f t="shared" si="34"/>
        <v>205.57161411620217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4.9962077736111716</v>
      </c>
      <c r="AA44" s="21">
        <f>EXP(-LN(2)/25)*AA43+(1-EXP(-LN(2)/25))/(LN(2)/25)*Calculateur!V44*Calculateur!X44*VLOOKUP('Données projet'!$B$9,Paramètres!$A$1:$I$89,3,0)*0.475*44/12</f>
        <v>9.0895200630498039</v>
      </c>
      <c r="AB44" s="21">
        <f>EXP(-LN(2)/2)*AB43+(1-EXP(-LN(2)/2))/(LN(2)/2)*V44*Y44*VLOOKUP('Données projet'!$B$9,Paramètres!$A$1:$I$89,3,0)*0.475*44/12</f>
        <v>0.12033393768636574</v>
      </c>
      <c r="AC44" s="22">
        <f t="shared" si="3"/>
        <v>14.206061774347342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12.8</v>
      </c>
      <c r="AI44" s="13">
        <f>IF('Données projet'!$A$62&gt;35,AI43+AH44-AQ43,IF(A44&lt;'Données projet'!$A$62,$AF$205^A44,IF(A44='Données projet'!$A$62,'Données projet'!$B$62,AI43+AH44-AQ43)))</f>
        <v>227.7999999999999</v>
      </c>
      <c r="AJ44" s="13">
        <f>AI44*VLOOKUP('Données projet'!$B$10,Paramètres!$A$1:$I$89,3,0)*VLOOKUP('Données projet'!$B$10,Paramètres!$A$1:$I$89,5,0)</f>
        <v>136.22439999999995</v>
      </c>
      <c r="AK44" s="13">
        <f t="shared" si="35"/>
        <v>35.430697151629076</v>
      </c>
      <c r="AL44" s="20">
        <f t="shared" si="4"/>
        <v>298.96596087242057</v>
      </c>
      <c r="AM44" s="59">
        <f t="shared" si="5"/>
        <v>592.29929420575388</v>
      </c>
      <c r="AN44" s="59">
        <f ca="1">AVERAGE(OFFSET($AM$3,0,0,'Données projet'!$E$10+1,1))-AVERAGE(OFFSET($H$3,0,0,'Données projet'!$E$10+1,1))</f>
        <v>247.30892363953825</v>
      </c>
      <c r="AO44" s="59">
        <f t="shared" si="36"/>
        <v>248.38414731596578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4.0193947662627458</v>
      </c>
      <c r="AV44" s="21">
        <f>EXP(-LN(2)/25)*AV43+(1-EXP(-LN(2)/25))/(LN(2)/25)*Calculateur!AQ44*Calculateur!AS44*VLOOKUP('Données projet'!$B$10,Paramètres!$A$1:$I$89,3,0)*0.475*44/12</f>
        <v>7.6369010477133994</v>
      </c>
      <c r="AW44" s="21">
        <f>EXP(-LN(2)/2)*AW43+(1-EXP(-LN(2)/2))/(LN(2)/2)*AQ44*AT44*VLOOKUP('Données projet'!$B$10,Paramètres!$A$1:$I$89,3,0)*0.475*44/12</f>
        <v>0.41962004496751143</v>
      </c>
      <c r="AX44" s="21">
        <f t="shared" si="6"/>
        <v>12.075915858943656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21.7</v>
      </c>
      <c r="BD44" s="12">
        <f>IF('Données projet'!$A$88&gt;35,BD43+BC44-BL43,IF(A44&lt;'Données projet'!$A$88,$BA$205^A44,IF(A44='Données projet'!$A$88,'Données projet'!$B$88,BD43+BC44-BL43)))</f>
        <v>359.69999999999976</v>
      </c>
      <c r="BE44" s="13">
        <f>BD44*VLOOKUP('Données projet'!$B$11,Paramètres!$A$1:$I$89,3,0)*VLOOKUP('Données projet'!$B$11,Paramètres!$A$1:$I$89,5,0)</f>
        <v>144.95909999999989</v>
      </c>
      <c r="BF44" s="13">
        <f t="shared" si="37"/>
        <v>37.43075390734537</v>
      </c>
      <c r="BG44" s="20">
        <f t="shared" si="7"/>
        <v>317.66232888862629</v>
      </c>
      <c r="BH44" s="59">
        <f t="shared" si="8"/>
        <v>610.99566222195961</v>
      </c>
      <c r="BI44" s="59">
        <f ca="1">AVERAGE(OFFSET($BH$3,0,0,'Données projet'!$E$11+1,1))-AVERAGE(OFFSET($H$3,0,0,'Données projet'!$E$11+1,1))</f>
        <v>265.97106059040101</v>
      </c>
      <c r="BJ44" s="59">
        <f t="shared" si="38"/>
        <v>240.18718869578237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4.6349252691155423</v>
      </c>
      <c r="BQ44" s="21">
        <f>EXP(-LN(2)/25)*BQ43+(1-EXP(-LN(2)/25))/(LN(2)/25)*Calculateur!BL44*Calculateur!BN44*VLOOKUP('Données projet'!$B$11,Paramètres!$A$1:$I$89,3,0)*0.475*44/12</f>
        <v>8.4628297259059799</v>
      </c>
      <c r="BR44" s="21">
        <f>EXP(-LN(2)/2)*BR43+(1-EXP(-LN(2)/2))/(LN(2)/2)*BL44*BO44*VLOOKUP('Données projet'!$B$11,Paramètres!$A$1:$I$89,3,0)*0.475*44/12</f>
        <v>0.39524071494791396</v>
      </c>
      <c r="BS44" s="22">
        <f t="shared" si="9"/>
        <v>13.492995709969435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12.8</v>
      </c>
      <c r="BY44" s="12">
        <f>IF('Données projet'!$A$114&gt;35,BY43+BX44-CG43,IF(A44&lt;'Données projet'!$A$114,$BV$205^A44,IF(A44='Données projet'!$A$114,'Données projet'!$B$114,BY43+BX44-CG43)))</f>
        <v>227.7999999999999</v>
      </c>
      <c r="BZ44" s="13">
        <f>BY44*VLOOKUP('Données projet'!$B$12,Paramètres!$A$1:$I$89,3,0)*VLOOKUP('Données projet'!$B$12,Paramètres!$A$1:$I$89,5,0)</f>
        <v>136.22439999999995</v>
      </c>
      <c r="CA44" s="13">
        <f t="shared" si="39"/>
        <v>35.430697151629076</v>
      </c>
      <c r="CB44" s="20">
        <f t="shared" si="10"/>
        <v>298.96596087242057</v>
      </c>
      <c r="CC44" s="59">
        <f t="shared" si="11"/>
        <v>592.29929420575388</v>
      </c>
      <c r="CD44" s="59">
        <f ca="1">AVERAGE(OFFSET($CC$3,0,0,'Données projet'!$E$12+1,1))-AVERAGE(OFFSET($H$3,0,0,'Données projet'!$E$12+1,1))</f>
        <v>247.30892363953825</v>
      </c>
      <c r="CE44" s="59">
        <f t="shared" si="40"/>
        <v>248.38414731596578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4.0193947662627458</v>
      </c>
      <c r="CL44" s="21">
        <f>EXP(-LN(2)/25)*CL43+(1-EXP(-LN(2)/25))/(LN(2)/25)*Calculateur!CG44*Calculateur!CI44*VLOOKUP('Données projet'!$B$12,Paramètres!$A$1:$I$89,3,0)*0.475*44/12</f>
        <v>7.6369010477133994</v>
      </c>
      <c r="CM44" s="21">
        <f>EXP(-LN(2)/2)*CM43+(1-EXP(-LN(2)/2))/(LN(2)/2)*CG44*CJ44*VLOOKUP('Données projet'!$B$12,Paramètres!$A$1:$I$89,3,0)*0.475*44/12</f>
        <v>0.41962004496751143</v>
      </c>
      <c r="CN44" s="22">
        <f t="shared" si="12"/>
        <v>12.075915858943656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9.8333333333333339</v>
      </c>
      <c r="N45" s="13">
        <f>IF('Données projet'!$A$36&gt;35,N44+M45-V44,IF(A45&lt;'Données projet'!$A$36,$K$205^A45,IF(A45='Données projet'!$A$36,'Données projet'!$B$36,N44+M45-V44)))</f>
        <v>253.66666666666671</v>
      </c>
      <c r="O45" s="13">
        <f>N45*VLOOKUP('Données projet'!$B$9,Paramètres!$A$1:$I$89,3,0)*VLOOKUP('Données projet'!$B$9,Paramètres!$A$1:$I$89,5,0)</f>
        <v>151.6926666666667</v>
      </c>
      <c r="P45" s="13">
        <f t="shared" si="33"/>
        <v>38.96299861908853</v>
      </c>
      <c r="Q45" s="20">
        <f t="shared" si="53"/>
        <v>332.05861703935699</v>
      </c>
      <c r="R45" s="59">
        <f t="shared" si="0"/>
        <v>625.3919503726903</v>
      </c>
      <c r="S45" s="59">
        <f ca="1">AVERAGE(OFFSET($R$3,0,0,'Données projet'!$E$9+1,1))-AVERAGE(OFFSET($H$3,0,0,'Données projet'!$E$9+1,1))</f>
        <v>191.77102466144095</v>
      </c>
      <c r="T45" s="59">
        <f t="shared" si="34"/>
        <v>205.57161411620217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4.8982351865564944</v>
      </c>
      <c r="AA45" s="21">
        <f>EXP(-LN(2)/25)*AA44+(1-EXP(-LN(2)/25))/(LN(2)/25)*Calculateur!V45*Calculateur!X45*VLOOKUP('Données projet'!$B$9,Paramètres!$A$1:$I$89,3,0)*0.475*44/12</f>
        <v>8.8409666589286218</v>
      </c>
      <c r="AB45" s="21">
        <f>EXP(-LN(2)/2)*AB44+(1-EXP(-LN(2)/2))/(LN(2)/2)*V45*Y45*VLOOKUP('Données projet'!$B$9,Paramètres!$A$1:$I$89,3,0)*0.475*44/12</f>
        <v>8.5088943344908671E-2</v>
      </c>
      <c r="AC45" s="22">
        <f t="shared" si="3"/>
        <v>13.824290788830025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12.8</v>
      </c>
      <c r="AI45" s="13">
        <f>IF('Données projet'!$A$62&gt;35,AI44+AH45-AQ44,IF(A45&lt;'Données projet'!$A$62,$AF$205^A45,IF(A45='Données projet'!$A$62,'Données projet'!$B$62,AI44+AH45-AQ44)))</f>
        <v>240.59999999999991</v>
      </c>
      <c r="AJ45" s="13">
        <f>AI45*VLOOKUP('Données projet'!$B$10,Paramètres!$A$1:$I$89,3,0)*VLOOKUP('Données projet'!$B$10,Paramètres!$A$1:$I$89,5,0)</f>
        <v>143.87879999999996</v>
      </c>
      <c r="AK45" s="13">
        <f t="shared" si="35"/>
        <v>37.184165858158067</v>
      </c>
      <c r="AL45" s="20">
        <f t="shared" si="4"/>
        <v>315.35133220295853</v>
      </c>
      <c r="AM45" s="59">
        <f t="shared" si="5"/>
        <v>608.68466553629185</v>
      </c>
      <c r="AN45" s="59">
        <f ca="1">AVERAGE(OFFSET($AM$3,0,0,'Données projet'!$E$10+1,1))-AVERAGE(OFFSET($H$3,0,0,'Données projet'!$E$10+1,1))</f>
        <v>247.30892363953825</v>
      </c>
      <c r="AO45" s="59">
        <f t="shared" si="36"/>
        <v>248.38414731596578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3.9405768864850663</v>
      </c>
      <c r="AV45" s="21">
        <f>EXP(-LN(2)/25)*AV44+(1-EXP(-LN(2)/25))/(LN(2)/25)*Calculateur!AQ45*Calculateur!AS45*VLOOKUP('Données projet'!$B$10,Paramètres!$A$1:$I$89,3,0)*0.475*44/12</f>
        <v>7.4280695869565045</v>
      </c>
      <c r="AW45" s="21">
        <f>EXP(-LN(2)/2)*AW44+(1-EXP(-LN(2)/2))/(LN(2)/2)*AQ45*AT45*VLOOKUP('Données projet'!$B$10,Paramètres!$A$1:$I$89,3,0)*0.475*44/12</f>
        <v>0.29671617931833133</v>
      </c>
      <c r="AX45" s="21">
        <f t="shared" si="6"/>
        <v>11.665362652759901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21.7</v>
      </c>
      <c r="BD45" s="12">
        <f>IF('Données projet'!$A$88&gt;35,BD44+BC45-BL44,IF(A45&lt;'Données projet'!$A$88,$BA$205^A45,IF(A45='Données projet'!$A$88,'Données projet'!$B$88,BD44+BC45-BL44)))</f>
        <v>381.39999999999975</v>
      </c>
      <c r="BE45" s="13">
        <f>BD45*VLOOKUP('Données projet'!$B$11,Paramètres!$A$1:$I$89,3,0)*VLOOKUP('Données projet'!$B$11,Paramètres!$A$1:$I$89,5,0)</f>
        <v>153.7041999999999</v>
      </c>
      <c r="BF45" s="13">
        <f t="shared" si="37"/>
        <v>39.419179488518608</v>
      </c>
      <c r="BG45" s="20">
        <f t="shared" si="7"/>
        <v>336.35655260916974</v>
      </c>
      <c r="BH45" s="59">
        <f t="shared" si="8"/>
        <v>629.689885942503</v>
      </c>
      <c r="BI45" s="59">
        <f ca="1">AVERAGE(OFFSET($BH$3,0,0,'Données projet'!$E$11+1,1))-AVERAGE(OFFSET($H$3,0,0,'Données projet'!$E$11+1,1))</f>
        <v>265.97106059040101</v>
      </c>
      <c r="BJ45" s="59">
        <f t="shared" si="38"/>
        <v>240.18718869578237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4.5440372116134551</v>
      </c>
      <c r="BQ45" s="21">
        <f>EXP(-LN(2)/25)*BQ44+(1-EXP(-LN(2)/25))/(LN(2)/25)*Calculateur!BL45*Calculateur!BN45*VLOOKUP('Données projet'!$B$11,Paramètres!$A$1:$I$89,3,0)*0.475*44/12</f>
        <v>8.2314132020102075</v>
      </c>
      <c r="BR45" s="21">
        <f>EXP(-LN(2)/2)*BR44+(1-EXP(-LN(2)/2))/(LN(2)/2)*BL45*BO45*VLOOKUP('Données projet'!$B$11,Paramètres!$A$1:$I$89,3,0)*0.475*44/12</f>
        <v>0.2794773897406892</v>
      </c>
      <c r="BS45" s="22">
        <f t="shared" si="9"/>
        <v>13.054927803364352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12.8</v>
      </c>
      <c r="BY45" s="12">
        <f>IF('Données projet'!$A$114&gt;35,BY44+BX45-CG44,IF(A45&lt;'Données projet'!$A$114,$BV$205^A45,IF(A45='Données projet'!$A$114,'Données projet'!$B$114,BY44+BX45-CG44)))</f>
        <v>240.59999999999991</v>
      </c>
      <c r="BZ45" s="13">
        <f>BY45*VLOOKUP('Données projet'!$B$12,Paramètres!$A$1:$I$89,3,0)*VLOOKUP('Données projet'!$B$12,Paramètres!$A$1:$I$89,5,0)</f>
        <v>143.87879999999996</v>
      </c>
      <c r="CA45" s="13">
        <f t="shared" si="39"/>
        <v>37.184165858158067</v>
      </c>
      <c r="CB45" s="20">
        <f t="shared" si="10"/>
        <v>315.35133220295853</v>
      </c>
      <c r="CC45" s="59">
        <f t="shared" si="11"/>
        <v>608.68466553629185</v>
      </c>
      <c r="CD45" s="59">
        <f ca="1">AVERAGE(OFFSET($CC$3,0,0,'Données projet'!$E$12+1,1))-AVERAGE(OFFSET($H$3,0,0,'Données projet'!$E$12+1,1))</f>
        <v>247.30892363953825</v>
      </c>
      <c r="CE45" s="59">
        <f t="shared" si="40"/>
        <v>248.38414731596578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3.9405768864850663</v>
      </c>
      <c r="CL45" s="21">
        <f>EXP(-LN(2)/25)*CL44+(1-EXP(-LN(2)/25))/(LN(2)/25)*Calculateur!CG45*Calculateur!CI45*VLOOKUP('Données projet'!$B$12,Paramètres!$A$1:$I$89,3,0)*0.475*44/12</f>
        <v>7.4280695869565045</v>
      </c>
      <c r="CM45" s="21">
        <f>EXP(-LN(2)/2)*CM44+(1-EXP(-LN(2)/2))/(LN(2)/2)*CG45*CJ45*VLOOKUP('Données projet'!$B$12,Paramètres!$A$1:$I$89,3,0)*0.475*44/12</f>
        <v>0.29671617931833133</v>
      </c>
      <c r="CN45" s="22">
        <f t="shared" si="12"/>
        <v>11.665362652759901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9.8333333333333339</v>
      </c>
      <c r="N46" s="13">
        <f>IF('Données projet'!$A$36&gt;35,N45+M46-V45,IF(A46&lt;'Données projet'!$A$36,$K$205^A46,IF(A46='Données projet'!$A$36,'Données projet'!$B$36,N45+M46-V45)))</f>
        <v>263.50000000000006</v>
      </c>
      <c r="O46" s="13">
        <f>N46*VLOOKUP('Données projet'!$B$9,Paramètres!$A$1:$I$89,3,0)*VLOOKUP('Données projet'!$B$9,Paramètres!$A$1:$I$89,5,0)</f>
        <v>157.57300000000006</v>
      </c>
      <c r="P46" s="13">
        <f t="shared" si="33"/>
        <v>40.294612761030372</v>
      </c>
      <c r="Q46" s="20">
        <f t="shared" si="53"/>
        <v>344.61942555879472</v>
      </c>
      <c r="R46" s="59">
        <f t="shared" si="0"/>
        <v>637.95275889212803</v>
      </c>
      <c r="S46" s="59">
        <f ca="1">AVERAGE(OFFSET($R$3,0,0,'Données projet'!$E$9+1,1))-AVERAGE(OFFSET($H$3,0,0,'Données projet'!$E$9+1,1))</f>
        <v>191.77102466144095</v>
      </c>
      <c r="T46" s="59">
        <f t="shared" si="34"/>
        <v>205.57161411620217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4.8021837821765816</v>
      </c>
      <c r="AA46" s="21">
        <f>EXP(-LN(2)/25)*AA45+(1-EXP(-LN(2)/25))/(LN(2)/25)*Calculateur!V46*Calculateur!X46*VLOOKUP('Données projet'!$B$9,Paramètres!$A$1:$I$89,3,0)*0.475*44/12</f>
        <v>8.5992099607139885</v>
      </c>
      <c r="AB46" s="21">
        <f>EXP(-LN(2)/2)*AB45+(1-EXP(-LN(2)/2))/(LN(2)/2)*V46*Y46*VLOOKUP('Données projet'!$B$9,Paramètres!$A$1:$I$89,3,0)*0.475*44/12</f>
        <v>6.0166968843182879E-2</v>
      </c>
      <c r="AC46" s="22">
        <f t="shared" si="3"/>
        <v>13.461560711733751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12.8</v>
      </c>
      <c r="AI46" s="13">
        <f>IF('Données projet'!$A$62&gt;35,AI45+AH46-AQ45,IF(A46&lt;'Données projet'!$A$62,$AF$205^A46,IF(A46='Données projet'!$A$62,'Données projet'!$B$62,AI45+AH46-AQ45)))</f>
        <v>253.39999999999992</v>
      </c>
      <c r="AJ46" s="13">
        <f>AI46*VLOOKUP('Données projet'!$B$10,Paramètres!$A$1:$I$89,3,0)*VLOOKUP('Données projet'!$B$10,Paramètres!$A$1:$I$89,5,0)</f>
        <v>151.53319999999997</v>
      </c>
      <c r="AK46" s="13">
        <f t="shared" si="35"/>
        <v>38.926804334954284</v>
      </c>
      <c r="AL46" s="20">
        <f t="shared" si="4"/>
        <v>331.71784088337864</v>
      </c>
      <c r="AM46" s="59">
        <f t="shared" si="5"/>
        <v>625.05117421671196</v>
      </c>
      <c r="AN46" s="59">
        <f ca="1">AVERAGE(OFFSET($AM$3,0,0,'Données projet'!$E$10+1,1))-AVERAGE(OFFSET($H$3,0,0,'Données projet'!$E$10+1,1))</f>
        <v>247.30892363953825</v>
      </c>
      <c r="AO46" s="59">
        <f t="shared" si="36"/>
        <v>248.38414731596578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3.8633045772556676</v>
      </c>
      <c r="AV46" s="21">
        <f>EXP(-LN(2)/25)*AV45+(1-EXP(-LN(2)/25))/(LN(2)/25)*Calculateur!AQ46*Calculateur!AS46*VLOOKUP('Données projet'!$B$10,Paramètres!$A$1:$I$89,3,0)*0.475*44/12</f>
        <v>7.224948633475976</v>
      </c>
      <c r="AW46" s="21">
        <f>EXP(-LN(2)/2)*AW45+(1-EXP(-LN(2)/2))/(LN(2)/2)*AQ46*AT46*VLOOKUP('Données projet'!$B$10,Paramètres!$A$1:$I$89,3,0)*0.475*44/12</f>
        <v>0.20981002248375571</v>
      </c>
      <c r="AX46" s="21">
        <f t="shared" si="6"/>
        <v>11.2980632332154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21.7</v>
      </c>
      <c r="BD46" s="12">
        <f>IF('Données projet'!$A$88&gt;35,BD45+BC46-BL45,IF(A46&lt;'Données projet'!$A$88,$BA$205^A46,IF(A46='Données projet'!$A$88,'Données projet'!$B$88,BD45+BC46-BL45)))</f>
        <v>403.09999999999974</v>
      </c>
      <c r="BE46" s="13">
        <f>BD46*VLOOKUP('Données projet'!$B$11,Paramètres!$A$1:$I$89,3,0)*VLOOKUP('Données projet'!$B$11,Paramètres!$A$1:$I$89,5,0)</f>
        <v>162.44929999999988</v>
      </c>
      <c r="BF46" s="13">
        <f t="shared" si="37"/>
        <v>41.39447244716407</v>
      </c>
      <c r="BG46" s="20">
        <f t="shared" si="7"/>
        <v>355.02790367881056</v>
      </c>
      <c r="BH46" s="59">
        <f t="shared" si="8"/>
        <v>648.36123701214387</v>
      </c>
      <c r="BI46" s="59">
        <f ca="1">AVERAGE(OFFSET($BH$3,0,0,'Données projet'!$E$11+1,1))-AVERAGE(OFFSET($H$3,0,0,'Données projet'!$E$11+1,1))</f>
        <v>265.97106059040101</v>
      </c>
      <c r="BJ46" s="59">
        <f t="shared" si="38"/>
        <v>240.18718869578237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4.4549314134827425</v>
      </c>
      <c r="BQ46" s="21">
        <f>EXP(-LN(2)/25)*BQ45+(1-EXP(-LN(2)/25))/(LN(2)/25)*Calculateur!BL46*Calculateur!BN46*VLOOKUP('Données projet'!$B$11,Paramètres!$A$1:$I$89,3,0)*0.475*44/12</f>
        <v>8.0063247751300306</v>
      </c>
      <c r="BR46" s="21">
        <f>EXP(-LN(2)/2)*BR45+(1-EXP(-LN(2)/2))/(LN(2)/2)*BL46*BO46*VLOOKUP('Données projet'!$B$11,Paramètres!$A$1:$I$89,3,0)*0.475*44/12</f>
        <v>0.19762035747395698</v>
      </c>
      <c r="BS46" s="22">
        <f t="shared" si="9"/>
        <v>12.658876546086729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12.8</v>
      </c>
      <c r="BY46" s="12">
        <f>IF('Données projet'!$A$114&gt;35,BY45+BX46-CG45,IF(A46&lt;'Données projet'!$A$114,$BV$205^A46,IF(A46='Données projet'!$A$114,'Données projet'!$B$114,BY45+BX46-CG45)))</f>
        <v>253.39999999999992</v>
      </c>
      <c r="BZ46" s="13">
        <f>BY46*VLOOKUP('Données projet'!$B$12,Paramètres!$A$1:$I$89,3,0)*VLOOKUP('Données projet'!$B$12,Paramètres!$A$1:$I$89,5,0)</f>
        <v>151.53319999999997</v>
      </c>
      <c r="CA46" s="13">
        <f t="shared" si="39"/>
        <v>38.926804334954284</v>
      </c>
      <c r="CB46" s="20">
        <f t="shared" si="10"/>
        <v>331.71784088337864</v>
      </c>
      <c r="CC46" s="59">
        <f t="shared" si="11"/>
        <v>625.05117421671196</v>
      </c>
      <c r="CD46" s="59">
        <f ca="1">AVERAGE(OFFSET($CC$3,0,0,'Données projet'!$E$12+1,1))-AVERAGE(OFFSET($H$3,0,0,'Données projet'!$E$12+1,1))</f>
        <v>247.30892363953825</v>
      </c>
      <c r="CE46" s="59">
        <f t="shared" si="40"/>
        <v>248.38414731596578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3.8633045772556676</v>
      </c>
      <c r="CL46" s="21">
        <f>EXP(-LN(2)/25)*CL45+(1-EXP(-LN(2)/25))/(LN(2)/25)*Calculateur!CG46*Calculateur!CI46*VLOOKUP('Données projet'!$B$12,Paramètres!$A$1:$I$89,3,0)*0.475*44/12</f>
        <v>7.224948633475976</v>
      </c>
      <c r="CM46" s="21">
        <f>EXP(-LN(2)/2)*CM45+(1-EXP(-LN(2)/2))/(LN(2)/2)*CG46*CJ46*VLOOKUP('Données projet'!$B$12,Paramètres!$A$1:$I$89,3,0)*0.475*44/12</f>
        <v>0.20981002248375571</v>
      </c>
      <c r="CN46" s="22">
        <f t="shared" si="12"/>
        <v>11.2980632332154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9.8333333333333339</v>
      </c>
      <c r="N47" s="13">
        <f>IF('Données projet'!$A$36&gt;35,N46+M47-V46,IF(A47&lt;'Données projet'!$A$36,$K$205^A47,IF(A47='Données projet'!$A$36,'Données projet'!$B$36,N46+M47-V46)))</f>
        <v>273.33333333333337</v>
      </c>
      <c r="O47" s="13">
        <f>N47*VLOOKUP('Données projet'!$B$9,Paramètres!$A$1:$I$89,3,0)*VLOOKUP('Données projet'!$B$9,Paramètres!$A$1:$I$89,5,0)</f>
        <v>163.45333333333338</v>
      </c>
      <c r="P47" s="13">
        <f t="shared" si="33"/>
        <v>41.620453722976563</v>
      </c>
      <c r="Q47" s="20">
        <f t="shared" si="53"/>
        <v>357.17017912307307</v>
      </c>
      <c r="R47" s="59">
        <f t="shared" si="0"/>
        <v>650.50351245640638</v>
      </c>
      <c r="S47" s="59">
        <f ca="1">AVERAGE(OFFSET($R$3,0,0,'Données projet'!$E$9+1,1))-AVERAGE(OFFSET($H$3,0,0,'Données projet'!$E$9+1,1))</f>
        <v>191.77102466144095</v>
      </c>
      <c r="T47" s="59">
        <f t="shared" si="34"/>
        <v>205.57161411620217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4.708015887250987</v>
      </c>
      <c r="AA47" s="21">
        <f>EXP(-LN(2)/25)*AA46+(1-EXP(-LN(2)/25))/(LN(2)/25)*Calculateur!V47*Calculateur!X47*VLOOKUP('Données projet'!$B$9,Paramètres!$A$1:$I$89,3,0)*0.475*44/12</f>
        <v>8.3640641121254671</v>
      </c>
      <c r="AB47" s="21">
        <f>EXP(-LN(2)/2)*AB46+(1-EXP(-LN(2)/2))/(LN(2)/2)*V47*Y47*VLOOKUP('Données projet'!$B$9,Paramètres!$A$1:$I$89,3,0)*0.475*44/12</f>
        <v>4.2544471672454343E-2</v>
      </c>
      <c r="AC47" s="22">
        <f t="shared" si="3"/>
        <v>13.114624471048909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12.8</v>
      </c>
      <c r="AI47" s="13">
        <f>IF('Données projet'!$A$62&gt;35,AI46+AH47-AQ46,IF(A47&lt;'Données projet'!$A$62,$AF$205^A47,IF(A47='Données projet'!$A$62,'Données projet'!$B$62,AI46+AH47-AQ46)))</f>
        <v>266.19999999999993</v>
      </c>
      <c r="AJ47" s="13">
        <f>AI47*VLOOKUP('Données projet'!$B$10,Paramètres!$A$1:$I$89,3,0)*VLOOKUP('Données projet'!$B$10,Paramètres!$A$1:$I$89,5,0)</f>
        <v>159.18759999999997</v>
      </c>
      <c r="AK47" s="13">
        <f t="shared" si="35"/>
        <v>40.659222067351315</v>
      </c>
      <c r="AL47" s="20">
        <f t="shared" si="4"/>
        <v>348.06654843397018</v>
      </c>
      <c r="AM47" s="59">
        <f t="shared" si="5"/>
        <v>641.39988176730344</v>
      </c>
      <c r="AN47" s="59">
        <f ca="1">AVERAGE(OFFSET($AM$3,0,0,'Données projet'!$E$10+1,1))-AVERAGE(OFFSET($H$3,0,0,'Données projet'!$E$10+1,1))</f>
        <v>247.30892363953825</v>
      </c>
      <c r="AO47" s="59">
        <f t="shared" si="36"/>
        <v>248.38414731596578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3.7875475308788027</v>
      </c>
      <c r="AV47" s="21">
        <f>EXP(-LN(2)/25)*AV46+(1-EXP(-LN(2)/25))/(LN(2)/25)*Calculateur!AQ47*Calculateur!AS47*VLOOKUP('Données projet'!$B$10,Paramètres!$A$1:$I$89,3,0)*0.475*44/12</f>
        <v>7.0273820331500394</v>
      </c>
      <c r="AW47" s="21">
        <f>EXP(-LN(2)/2)*AW46+(1-EXP(-LN(2)/2))/(LN(2)/2)*AQ47*AT47*VLOOKUP('Données projet'!$B$10,Paramètres!$A$1:$I$89,3,0)*0.475*44/12</f>
        <v>0.14835808965916567</v>
      </c>
      <c r="AX47" s="21">
        <f t="shared" si="6"/>
        <v>10.963287653688008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21.7</v>
      </c>
      <c r="BD47" s="12">
        <f>IF('Données projet'!$A$88&gt;35,BD46+BC47-BL46,IF(A47&lt;'Données projet'!$A$88,$BA$205^A47,IF(A47='Données projet'!$A$88,'Données projet'!$B$88,BD46+BC47-BL46)))</f>
        <v>424.79999999999973</v>
      </c>
      <c r="BE47" s="13">
        <f>BD47*VLOOKUP('Données projet'!$B$11,Paramètres!$A$1:$I$89,3,0)*VLOOKUP('Données projet'!$B$11,Paramètres!$A$1:$I$89,5,0)</f>
        <v>171.19439999999989</v>
      </c>
      <c r="BF47" s="13">
        <f t="shared" si="37"/>
        <v>43.357420352909735</v>
      </c>
      <c r="BG47" s="20">
        <f t="shared" si="7"/>
        <v>373.67775378131756</v>
      </c>
      <c r="BH47" s="59">
        <f t="shared" si="8"/>
        <v>667.01108711465088</v>
      </c>
      <c r="BI47" s="59">
        <f ca="1">AVERAGE(OFFSET($BH$3,0,0,'Données projet'!$E$11+1,1))-AVERAGE(OFFSET($H$3,0,0,'Données projet'!$E$11+1,1))</f>
        <v>265.97106059040101</v>
      </c>
      <c r="BJ47" s="59">
        <f t="shared" si="38"/>
        <v>240.18718869578237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4.3675729257042031</v>
      </c>
      <c r="BQ47" s="21">
        <f>EXP(-LN(2)/25)*BQ46+(1-EXP(-LN(2)/25))/(LN(2)/25)*Calculateur!BL47*Calculateur!BN47*VLOOKUP('Données projet'!$B$11,Paramètres!$A$1:$I$89,3,0)*0.475*44/12</f>
        <v>7.7873914031197788</v>
      </c>
      <c r="BR47" s="21">
        <f>EXP(-LN(2)/2)*BR46+(1-EXP(-LN(2)/2))/(LN(2)/2)*BL47*BO47*VLOOKUP('Données projet'!$B$11,Paramètres!$A$1:$I$89,3,0)*0.475*44/12</f>
        <v>0.1397386948703446</v>
      </c>
      <c r="BS47" s="22">
        <f t="shared" si="9"/>
        <v>12.294703023694327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12.8</v>
      </c>
      <c r="BY47" s="12">
        <f>IF('Données projet'!$A$114&gt;35,BY46+BX47-CG46,IF(A47&lt;'Données projet'!$A$114,$BV$205^A47,IF(A47='Données projet'!$A$114,'Données projet'!$B$114,BY46+BX47-CG46)))</f>
        <v>266.19999999999993</v>
      </c>
      <c r="BZ47" s="13">
        <f>BY47*VLOOKUP('Données projet'!$B$12,Paramètres!$A$1:$I$89,3,0)*VLOOKUP('Données projet'!$B$12,Paramètres!$A$1:$I$89,5,0)</f>
        <v>159.18759999999997</v>
      </c>
      <c r="CA47" s="13">
        <f t="shared" si="39"/>
        <v>40.659222067351315</v>
      </c>
      <c r="CB47" s="20">
        <f t="shared" si="10"/>
        <v>348.06654843397018</v>
      </c>
      <c r="CC47" s="59">
        <f t="shared" si="11"/>
        <v>641.39988176730344</v>
      </c>
      <c r="CD47" s="59">
        <f ca="1">AVERAGE(OFFSET($CC$3,0,0,'Données projet'!$E$12+1,1))-AVERAGE(OFFSET($H$3,0,0,'Données projet'!$E$12+1,1))</f>
        <v>247.30892363953825</v>
      </c>
      <c r="CE47" s="59">
        <f t="shared" si="40"/>
        <v>248.38414731596578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3.7875475308788027</v>
      </c>
      <c r="CL47" s="21">
        <f>EXP(-LN(2)/25)*CL46+(1-EXP(-LN(2)/25))/(LN(2)/25)*Calculateur!CG47*Calculateur!CI47*VLOOKUP('Données projet'!$B$12,Paramètres!$A$1:$I$89,3,0)*0.475*44/12</f>
        <v>7.0273820331500394</v>
      </c>
      <c r="CM47" s="21">
        <f>EXP(-LN(2)/2)*CM46+(1-EXP(-LN(2)/2))/(LN(2)/2)*CG47*CJ47*VLOOKUP('Données projet'!$B$12,Paramètres!$A$1:$I$89,3,0)*0.475*44/12</f>
        <v>0.14835808965916567</v>
      </c>
      <c r="CN47" s="22">
        <f t="shared" si="12"/>
        <v>10.963287653688008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9.8333333333333339</v>
      </c>
      <c r="N48" s="13">
        <f>IF('Données projet'!$A$36&gt;35,N47+M48-V47,IF(A48&lt;'Données projet'!$A$36,$K$205^A48,IF(A48='Données projet'!$A$36,'Données projet'!$B$36,N47+M48-V47)))</f>
        <v>283.16666666666669</v>
      </c>
      <c r="O48" s="13">
        <f>N48*VLOOKUP('Données projet'!$B$9,Paramètres!$A$1:$I$89,3,0)*VLOOKUP('Données projet'!$B$9,Paramètres!$A$1:$I$89,5,0)</f>
        <v>169.33366666666672</v>
      </c>
      <c r="P48" s="13">
        <f t="shared" si="33"/>
        <v>42.940752990888512</v>
      </c>
      <c r="Q48" s="20">
        <f t="shared" si="53"/>
        <v>369.7112809035753</v>
      </c>
      <c r="R48" s="59">
        <f t="shared" si="0"/>
        <v>663.04461423690861</v>
      </c>
      <c r="S48" s="59">
        <f ca="1">AVERAGE(OFFSET($R$3,0,0,'Données projet'!$E$9+1,1))-AVERAGE(OFFSET($H$3,0,0,'Données projet'!$E$9+1,1))</f>
        <v>191.77102466144095</v>
      </c>
      <c r="T48" s="59">
        <f t="shared" si="34"/>
        <v>205.57161411620217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4.6156945673081387</v>
      </c>
      <c r="AA48" s="21">
        <f>EXP(-LN(2)/25)*AA47+(1-EXP(-LN(2)/25))/(LN(2)/25)*Calculateur!V48*Calculateur!X48*VLOOKUP('Données projet'!$B$9,Paramètres!$A$1:$I$89,3,0)*0.475*44/12</f>
        <v>8.1353483391323813</v>
      </c>
      <c r="AB48" s="21">
        <f>EXP(-LN(2)/2)*AB47+(1-EXP(-LN(2)/2))/(LN(2)/2)*V48*Y48*VLOOKUP('Données projet'!$B$9,Paramètres!$A$1:$I$89,3,0)*0.475*44/12</f>
        <v>3.0083484421591443E-2</v>
      </c>
      <c r="AC48" s="22">
        <f t="shared" si="3"/>
        <v>12.781126390862113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12.8</v>
      </c>
      <c r="AI48" s="13">
        <f>IF('Données projet'!$A$62&gt;35,AI47+AH48-AQ47,IF(A48&lt;'Données projet'!$A$62,$AF$205^A48,IF(A48='Données projet'!$A$62,'Données projet'!$B$62,AI47+AH48-AQ47)))</f>
        <v>278.99999999999994</v>
      </c>
      <c r="AJ48" s="13">
        <f>AI48*VLOOKUP('Données projet'!$B$10,Paramètres!$A$1:$I$89,3,0)*VLOOKUP('Données projet'!$B$10,Paramètres!$A$1:$I$89,5,0)</f>
        <v>166.84199999999998</v>
      </c>
      <c r="AK48" s="13">
        <f t="shared" si="35"/>
        <v>42.381966615760334</v>
      </c>
      <c r="AL48" s="20">
        <f t="shared" si="4"/>
        <v>364.39840852244924</v>
      </c>
      <c r="AM48" s="59">
        <f t="shared" si="5"/>
        <v>657.7317418557825</v>
      </c>
      <c r="AN48" s="59">
        <f ca="1">AVERAGE(OFFSET($AM$3,0,0,'Données projet'!$E$10+1,1))-AVERAGE(OFFSET($H$3,0,0,'Données projet'!$E$10+1,1))</f>
        <v>247.30892363953825</v>
      </c>
      <c r="AO48" s="59">
        <f t="shared" si="36"/>
        <v>248.38414731596578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3.7132760339741524</v>
      </c>
      <c r="AV48" s="21">
        <f>EXP(-LN(2)/25)*AV47+(1-EXP(-LN(2)/25))/(LN(2)/25)*Calculateur!AQ48*Calculateur!AS48*VLOOKUP('Données projet'!$B$10,Paramètres!$A$1:$I$89,3,0)*0.475*44/12</f>
        <v>6.8352179018995916</v>
      </c>
      <c r="AW48" s="21">
        <f>EXP(-LN(2)/2)*AW47+(1-EXP(-LN(2)/2))/(LN(2)/2)*AQ48*AT48*VLOOKUP('Données projet'!$B$10,Paramètres!$A$1:$I$89,3,0)*0.475*44/12</f>
        <v>0.10490501124187786</v>
      </c>
      <c r="AX48" s="21">
        <f t="shared" si="6"/>
        <v>10.653398947115621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21.7</v>
      </c>
      <c r="BD48" s="12">
        <f>IF('Données projet'!$A$88&gt;35,BD47+BC48-BL47,IF(A48&lt;'Données projet'!$A$88,$BA$205^A48,IF(A48='Données projet'!$A$88,'Données projet'!$B$88,BD47+BC48-BL47)))</f>
        <v>446.49999999999972</v>
      </c>
      <c r="BE48" s="13">
        <f>BD48*VLOOKUP('Données projet'!$B$11,Paramètres!$A$1:$I$89,3,0)*VLOOKUP('Données projet'!$B$11,Paramètres!$A$1:$I$89,5,0)</f>
        <v>179.9394999999999</v>
      </c>
      <c r="BF48" s="13">
        <f t="shared" si="37"/>
        <v>45.308725767874748</v>
      </c>
      <c r="BG48" s="20">
        <f t="shared" si="7"/>
        <v>392.30732654571506</v>
      </c>
      <c r="BH48" s="59">
        <f t="shared" si="8"/>
        <v>685.64065987904837</v>
      </c>
      <c r="BI48" s="59">
        <f ca="1">AVERAGE(OFFSET($BH$3,0,0,'Données projet'!$E$11+1,1))-AVERAGE(OFFSET($H$3,0,0,'Données projet'!$E$11+1,1))</f>
        <v>265.97106059040101</v>
      </c>
      <c r="BJ48" s="59">
        <f t="shared" si="38"/>
        <v>240.18718869578237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4.2819274845875848</v>
      </c>
      <c r="BQ48" s="21">
        <f>EXP(-LN(2)/25)*BQ47+(1-EXP(-LN(2)/25))/(LN(2)/25)*Calculateur!BL48*Calculateur!BN48*VLOOKUP('Données projet'!$B$11,Paramètres!$A$1:$I$89,3,0)*0.475*44/12</f>
        <v>7.5744447756803526</v>
      </c>
      <c r="BR48" s="21">
        <f>EXP(-LN(2)/2)*BR47+(1-EXP(-LN(2)/2))/(LN(2)/2)*BL48*BO48*VLOOKUP('Données projet'!$B$11,Paramètres!$A$1:$I$89,3,0)*0.475*44/12</f>
        <v>9.8810178736978491E-2</v>
      </c>
      <c r="BS48" s="22">
        <f t="shared" si="9"/>
        <v>11.955182439004917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12.8</v>
      </c>
      <c r="BY48" s="12">
        <f>IF('Données projet'!$A$114&gt;35,BY47+BX48-CG47,IF(A48&lt;'Données projet'!$A$114,$BV$205^A48,IF(A48='Données projet'!$A$114,'Données projet'!$B$114,BY47+BX48-CG47)))</f>
        <v>278.99999999999994</v>
      </c>
      <c r="BZ48" s="13">
        <f>BY48*VLOOKUP('Données projet'!$B$12,Paramètres!$A$1:$I$89,3,0)*VLOOKUP('Données projet'!$B$12,Paramètres!$A$1:$I$89,5,0)</f>
        <v>166.84199999999998</v>
      </c>
      <c r="CA48" s="13">
        <f t="shared" si="39"/>
        <v>42.381966615760334</v>
      </c>
      <c r="CB48" s="20">
        <f t="shared" si="10"/>
        <v>364.39840852244924</v>
      </c>
      <c r="CC48" s="59">
        <f t="shared" si="11"/>
        <v>657.7317418557825</v>
      </c>
      <c r="CD48" s="59">
        <f ca="1">AVERAGE(OFFSET($CC$3,0,0,'Données projet'!$E$12+1,1))-AVERAGE(OFFSET($H$3,0,0,'Données projet'!$E$12+1,1))</f>
        <v>247.30892363953825</v>
      </c>
      <c r="CE48" s="59">
        <f t="shared" si="40"/>
        <v>248.38414731596578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3.7132760339741524</v>
      </c>
      <c r="CL48" s="21">
        <f>EXP(-LN(2)/25)*CL47+(1-EXP(-LN(2)/25))/(LN(2)/25)*Calculateur!CG48*Calculateur!CI48*VLOOKUP('Données projet'!$B$12,Paramètres!$A$1:$I$89,3,0)*0.475*44/12</f>
        <v>6.8352179018995916</v>
      </c>
      <c r="CM48" s="21">
        <f>EXP(-LN(2)/2)*CM47+(1-EXP(-LN(2)/2))/(LN(2)/2)*CG48*CJ48*VLOOKUP('Données projet'!$B$12,Paramètres!$A$1:$I$89,3,0)*0.475*44/12</f>
        <v>0.10490501124187786</v>
      </c>
      <c r="CN48" s="22">
        <f t="shared" si="12"/>
        <v>10.653398947115621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293</v>
      </c>
      <c r="L49" s="12">
        <f>VLOOKUP(A49,'Données projet'!$A$35:$I$55,9,0)</f>
        <v>9.8333333333333339</v>
      </c>
      <c r="M49" s="12">
        <f t="array" ref="M49">INDEX(L:L,MIN(IF(ISNUMBER(L49:L245),ROW(L49:L245),"")))</f>
        <v>9.8333333333333339</v>
      </c>
      <c r="N49" s="13">
        <f>IF('Données projet'!$A$36&gt;35,N48+M49-V48,IF(A49&lt;'Données projet'!$A$36,$K$205^A49,IF(A49='Données projet'!$A$36,'Données projet'!$B$36,N48+M49-V48)))</f>
        <v>293</v>
      </c>
      <c r="O49" s="13">
        <f>N49*VLOOKUP('Données projet'!$B$9,Paramètres!$A$1:$I$89,3,0)*VLOOKUP('Données projet'!$B$9,Paramètres!$A$1:$I$89,5,0)</f>
        <v>175.214</v>
      </c>
      <c r="P49" s="13">
        <f t="shared" si="33"/>
        <v>44.255725061661991</v>
      </c>
      <c r="Q49" s="20">
        <f t="shared" si="53"/>
        <v>382.24310448239459</v>
      </c>
      <c r="R49" s="59">
        <f t="shared" si="0"/>
        <v>675.5764378157279</v>
      </c>
      <c r="S49" s="59">
        <f ca="1">AVERAGE(OFFSET($R$3,0,0,'Données projet'!$E$9+1,1))-AVERAGE(OFFSET($H$3,0,0,'Données projet'!$E$9+1,1))</f>
        <v>191.77102466144095</v>
      </c>
      <c r="T49" s="59">
        <f t="shared" si="34"/>
        <v>205.57161411620217</v>
      </c>
      <c r="U49" s="15">
        <f>IF(ISNA(VLOOKUP(A49,'Données projet'!$A$35:$I$55,3,0)),0,VLOOKUP(A49,'Données projet'!$A$35:$I$55,3,0))</f>
        <v>7</v>
      </c>
      <c r="V49" s="15">
        <f>IF(ISNA(VLOOKUP(A49,'Données projet'!$A$35:$I$55,4,0)),0,VLOOKUP(A49,'Données projet'!$A$35:$I$55,4,0))</f>
        <v>29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4.5251836121389246</v>
      </c>
      <c r="AA49" s="21">
        <f>EXP(-LN(2)/25)*AA48+(1-EXP(-LN(2)/25))/(LN(2)/25)*Calculateur!V49*Calculateur!X49*VLOOKUP('Données projet'!$B$9,Paramètres!$A$1:$I$89,3,0)*0.475*44/12</f>
        <v>7.9128868109794306</v>
      </c>
      <c r="AB49" s="21">
        <f>EXP(-LN(2)/2)*AB48+(1-EXP(-LN(2)/2))/(LN(2)/2)*V49*Y49*VLOOKUP('Données projet'!$B$9,Paramètres!$A$1:$I$89,3,0)*0.475*44/12</f>
        <v>2.1272235836227175E-2</v>
      </c>
      <c r="AC49" s="22">
        <f t="shared" si="3"/>
        <v>12.459342658954581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12.8</v>
      </c>
      <c r="AI49" s="13">
        <f>IF('Données projet'!$A$62&gt;35,AI48+AH49-AQ48,IF(A49&lt;'Données projet'!$A$62,$AF$205^A49,IF(A49='Données projet'!$A$62,'Données projet'!$B$62,AI48+AH49-AQ48)))</f>
        <v>291.79999999999995</v>
      </c>
      <c r="AJ49" s="13">
        <f>AI49*VLOOKUP('Données projet'!$B$10,Paramètres!$A$1:$I$89,3,0)*VLOOKUP('Données projet'!$B$10,Paramètres!$A$1:$I$89,5,0)</f>
        <v>174.49639999999999</v>
      </c>
      <c r="AK49" s="13">
        <f t="shared" si="35"/>
        <v>44.095532458716939</v>
      </c>
      <c r="AL49" s="20">
        <f t="shared" si="4"/>
        <v>380.71428236559865</v>
      </c>
      <c r="AM49" s="59">
        <f t="shared" si="5"/>
        <v>674.04761569893196</v>
      </c>
      <c r="AN49" s="59">
        <f ca="1">AVERAGE(OFFSET($AM$3,0,0,'Données projet'!$E$10+1,1))-AVERAGE(OFFSET($H$3,0,0,'Données projet'!$E$10+1,1))</f>
        <v>247.30892363953825</v>
      </c>
      <c r="AO49" s="59">
        <f t="shared" si="36"/>
        <v>248.38414731596578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3.6404609558226624</v>
      </c>
      <c r="AV49" s="21">
        <f>EXP(-LN(2)/25)*AV48+(1-EXP(-LN(2)/25))/(LN(2)/25)*Calculateur!AQ49*Calculateur!AS49*VLOOKUP('Données projet'!$B$10,Paramètres!$A$1:$I$89,3,0)*0.475*44/12</f>
        <v>6.6483085089236598</v>
      </c>
      <c r="AW49" s="21">
        <f>EXP(-LN(2)/2)*AW48+(1-EXP(-LN(2)/2))/(LN(2)/2)*AQ49*AT49*VLOOKUP('Données projet'!$B$10,Paramètres!$A$1:$I$89,3,0)*0.475*44/12</f>
        <v>7.4179044829582833E-2</v>
      </c>
      <c r="AX49" s="21">
        <f t="shared" si="6"/>
        <v>10.362948509575904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21.7</v>
      </c>
      <c r="BD49" s="12">
        <f>IF('Données projet'!$A$88&gt;35,BD48+BC49-BL48,IF(A49&lt;'Données projet'!$A$88,$BA$205^A49,IF(A49='Données projet'!$A$88,'Données projet'!$B$88,BD48+BC49-BL48)))</f>
        <v>468.1999999999997</v>
      </c>
      <c r="BE49" s="13">
        <f>BD49*VLOOKUP('Données projet'!$B$11,Paramètres!$A$1:$I$89,3,0)*VLOOKUP('Données projet'!$B$11,Paramètres!$A$1:$I$89,5,0)</f>
        <v>188.6845999999999</v>
      </c>
      <c r="BF49" s="13">
        <f t="shared" si="37"/>
        <v>47.249019106603768</v>
      </c>
      <c r="BG49" s="20">
        <f t="shared" si="7"/>
        <v>410.91771994400136</v>
      </c>
      <c r="BH49" s="59">
        <f t="shared" si="8"/>
        <v>704.25105327733468</v>
      </c>
      <c r="BI49" s="59">
        <f ca="1">AVERAGE(OFFSET($BH$3,0,0,'Données projet'!$E$11+1,1))-AVERAGE(OFFSET($H$3,0,0,'Données projet'!$E$11+1,1))</f>
        <v>265.97106059040101</v>
      </c>
      <c r="BJ49" s="59">
        <f t="shared" si="38"/>
        <v>240.18718869578237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4.1979614983327025</v>
      </c>
      <c r="BQ49" s="21">
        <f>EXP(-LN(2)/25)*BQ48+(1-EXP(-LN(2)/25))/(LN(2)/25)*Calculateur!BL49*Calculateur!BN49*VLOOKUP('Données projet'!$B$11,Paramètres!$A$1:$I$89,3,0)*0.475*44/12</f>
        <v>7.3673211849666345</v>
      </c>
      <c r="BR49" s="21">
        <f>EXP(-LN(2)/2)*BR48+(1-EXP(-LN(2)/2))/(LN(2)/2)*BL49*BO49*VLOOKUP('Données projet'!$B$11,Paramètres!$A$1:$I$89,3,0)*0.475*44/12</f>
        <v>6.9869347435172299E-2</v>
      </c>
      <c r="BS49" s="22">
        <f t="shared" si="9"/>
        <v>11.63515203073451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12.8</v>
      </c>
      <c r="BY49" s="12">
        <f>IF('Données projet'!$A$114&gt;35,BY48+BX49-CG48,IF(A49&lt;'Données projet'!$A$114,$BV$205^A49,IF(A49='Données projet'!$A$114,'Données projet'!$B$114,BY48+BX49-CG48)))</f>
        <v>291.79999999999995</v>
      </c>
      <c r="BZ49" s="13">
        <f>BY49*VLOOKUP('Données projet'!$B$12,Paramètres!$A$1:$I$89,3,0)*VLOOKUP('Données projet'!$B$12,Paramètres!$A$1:$I$89,5,0)</f>
        <v>174.49639999999999</v>
      </c>
      <c r="CA49" s="13">
        <f t="shared" si="39"/>
        <v>44.095532458716939</v>
      </c>
      <c r="CB49" s="20">
        <f t="shared" si="10"/>
        <v>380.71428236559865</v>
      </c>
      <c r="CC49" s="59">
        <f t="shared" si="11"/>
        <v>674.04761569893196</v>
      </c>
      <c r="CD49" s="59">
        <f ca="1">AVERAGE(OFFSET($CC$3,0,0,'Données projet'!$E$12+1,1))-AVERAGE(OFFSET($H$3,0,0,'Données projet'!$E$12+1,1))</f>
        <v>247.30892363953825</v>
      </c>
      <c r="CE49" s="59">
        <f t="shared" si="40"/>
        <v>248.38414731596578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3.6404609558226624</v>
      </c>
      <c r="CL49" s="21">
        <f>EXP(-LN(2)/25)*CL48+(1-EXP(-LN(2)/25))/(LN(2)/25)*Calculateur!CG49*Calculateur!CI49*VLOOKUP('Données projet'!$B$12,Paramètres!$A$1:$I$89,3,0)*0.475*44/12</f>
        <v>6.6483085089236598</v>
      </c>
      <c r="CM49" s="21">
        <f>EXP(-LN(2)/2)*CM48+(1-EXP(-LN(2)/2))/(LN(2)/2)*CG49*CJ49*VLOOKUP('Données projet'!$B$12,Paramètres!$A$1:$I$89,3,0)*0.475*44/12</f>
        <v>7.4179044829582833E-2</v>
      </c>
      <c r="CN49" s="22">
        <f t="shared" si="12"/>
        <v>10.362948509575904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5.875</v>
      </c>
      <c r="N50" s="13">
        <f>IF('Données projet'!$A$36&gt;35,N49+M50-V49,IF(A50&lt;'Données projet'!$A$36,$K$205^A50,IF(A50='Données projet'!$A$36,'Données projet'!$B$36,N49+M50-V49)))</f>
        <v>269.875</v>
      </c>
      <c r="O50" s="13">
        <f>N50*VLOOKUP('Données projet'!$B$9,Paramètres!$A$1:$I$89,3,0)*VLOOKUP('Données projet'!$B$9,Paramètres!$A$1:$I$89,5,0)</f>
        <v>161.38525000000001</v>
      </c>
      <c r="P50" s="13">
        <f t="shared" si="33"/>
        <v>41.154805478559268</v>
      </c>
      <c r="Q50" s="20">
        <f t="shared" si="53"/>
        <v>352.75726329182407</v>
      </c>
      <c r="R50" s="59">
        <f t="shared" si="0"/>
        <v>646.09059662515733</v>
      </c>
      <c r="S50" s="59">
        <f ca="1">AVERAGE(OFFSET($R$3,0,0,'Données projet'!$E$9+1,1))-AVERAGE(OFFSET($H$3,0,0,'Données projet'!$E$9+1,1))</f>
        <v>191.77102466144095</v>
      </c>
      <c r="T50" s="59">
        <f t="shared" si="34"/>
        <v>205.57161411620217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4.4364475215943475</v>
      </c>
      <c r="AA50" s="21">
        <f>EXP(-LN(2)/25)*AA49+(1-EXP(-LN(2)/25))/(LN(2)/25)*Calculateur!V50*Calculateur!X50*VLOOKUP('Données projet'!$B$9,Paramètres!$A$1:$I$89,3,0)*0.475*44/12</f>
        <v>7.6965085050125657</v>
      </c>
      <c r="AB50" s="21">
        <f>EXP(-LN(2)/2)*AB49+(1-EXP(-LN(2)/2))/(LN(2)/2)*V50*Y50*VLOOKUP('Données projet'!$B$9,Paramètres!$A$1:$I$89,3,0)*0.475*44/12</f>
        <v>1.5041742210795725E-2</v>
      </c>
      <c r="AC50" s="22">
        <f t="shared" si="3"/>
        <v>12.147997768817708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12.8</v>
      </c>
      <c r="AI50" s="13">
        <f>IF('Données projet'!$A$62&gt;35,AI49+AH50-AQ49,IF(A50&lt;'Données projet'!$A$62,$AF$205^A50,IF(A50='Données projet'!$A$62,'Données projet'!$B$62,AI49+AH50-AQ49)))</f>
        <v>304.59999999999997</v>
      </c>
      <c r="AJ50" s="13">
        <f>AI50*VLOOKUP('Données projet'!$B$10,Paramètres!$A$1:$I$89,3,0)*VLOOKUP('Données projet'!$B$10,Paramètres!$A$1:$I$89,5,0)</f>
        <v>182.15079999999998</v>
      </c>
      <c r="AK50" s="13">
        <f t="shared" si="35"/>
        <v>45.800368240506849</v>
      </c>
      <c r="AL50" s="20">
        <f t="shared" si="4"/>
        <v>397.01495135221603</v>
      </c>
      <c r="AM50" s="59">
        <f t="shared" si="5"/>
        <v>690.34828468554929</v>
      </c>
      <c r="AN50" s="59">
        <f ca="1">AVERAGE(OFFSET($AM$3,0,0,'Données projet'!$E$10+1,1))-AVERAGE(OFFSET($H$3,0,0,'Données projet'!$E$10+1,1))</f>
        <v>247.30892363953825</v>
      </c>
      <c r="AO50" s="59">
        <f t="shared" si="36"/>
        <v>248.38414731596578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3.5690737369409105</v>
      </c>
      <c r="AV50" s="21">
        <f>EXP(-LN(2)/25)*AV49+(1-EXP(-LN(2)/25))/(LN(2)/25)*Calculateur!AQ50*Calculateur!AS50*VLOOKUP('Données projet'!$B$10,Paramètres!$A$1:$I$89,3,0)*0.475*44/12</f>
        <v>6.4665101631277926</v>
      </c>
      <c r="AW50" s="21">
        <f>EXP(-LN(2)/2)*AW49+(1-EXP(-LN(2)/2))/(LN(2)/2)*AQ50*AT50*VLOOKUP('Données projet'!$B$10,Paramètres!$A$1:$I$89,3,0)*0.475*44/12</f>
        <v>5.2452505620938929E-2</v>
      </c>
      <c r="AX50" s="21">
        <f t="shared" si="6"/>
        <v>10.088036405689643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21.7</v>
      </c>
      <c r="BD50" s="12">
        <f>IF('Données projet'!$A$88&gt;35,BD49+BC50-BL49,IF(A50&lt;'Données projet'!$A$88,$BA$205^A50,IF(A50='Données projet'!$A$88,'Données projet'!$B$88,BD49+BC50-BL49)))</f>
        <v>489.89999999999969</v>
      </c>
      <c r="BE50" s="13">
        <f>BD50*VLOOKUP('Données projet'!$B$11,Paramètres!$A$1:$I$89,3,0)*VLOOKUP('Données projet'!$B$11,Paramètres!$A$1:$I$89,5,0)</f>
        <v>197.42969999999988</v>
      </c>
      <c r="BF50" s="13">
        <f t="shared" si="37"/>
        <v>49.178869044432325</v>
      </c>
      <c r="BG50" s="20">
        <f t="shared" si="7"/>
        <v>429.50992441905277</v>
      </c>
      <c r="BH50" s="59">
        <f t="shared" si="8"/>
        <v>722.84325775238608</v>
      </c>
      <c r="BI50" s="59">
        <f ca="1">AVERAGE(OFFSET($BH$3,0,0,'Données projet'!$E$11+1,1))-AVERAGE(OFFSET($H$3,0,0,'Données projet'!$E$11+1,1))</f>
        <v>265.97106059040101</v>
      </c>
      <c r="BJ50" s="59">
        <f t="shared" si="38"/>
        <v>240.18718869578237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4.1156420338540833</v>
      </c>
      <c r="BQ50" s="21">
        <f>EXP(-LN(2)/25)*BQ49+(1-EXP(-LN(2)/25))/(LN(2)/25)*Calculateur!BL50*Calculateur!BN50*VLOOKUP('Données projet'!$B$11,Paramètres!$A$1:$I$89,3,0)*0.475*44/12</f>
        <v>7.1658613997331386</v>
      </c>
      <c r="BR50" s="21">
        <f>EXP(-LN(2)/2)*BR49+(1-EXP(-LN(2)/2))/(LN(2)/2)*BL50*BO50*VLOOKUP('Données projet'!$B$11,Paramètres!$A$1:$I$89,3,0)*0.475*44/12</f>
        <v>4.9405089368489245E-2</v>
      </c>
      <c r="BS50" s="22">
        <f t="shared" si="9"/>
        <v>11.330908522955712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12.8</v>
      </c>
      <c r="BY50" s="12">
        <f>IF('Données projet'!$A$114&gt;35,BY49+BX50-CG49,IF(A50&lt;'Données projet'!$A$114,$BV$205^A50,IF(A50='Données projet'!$A$114,'Données projet'!$B$114,BY49+BX50-CG49)))</f>
        <v>304.59999999999997</v>
      </c>
      <c r="BZ50" s="13">
        <f>BY50*VLOOKUP('Données projet'!$B$12,Paramètres!$A$1:$I$89,3,0)*VLOOKUP('Données projet'!$B$12,Paramètres!$A$1:$I$89,5,0)</f>
        <v>182.15079999999998</v>
      </c>
      <c r="CA50" s="13">
        <f t="shared" si="39"/>
        <v>45.800368240506849</v>
      </c>
      <c r="CB50" s="20">
        <f t="shared" si="10"/>
        <v>397.01495135221603</v>
      </c>
      <c r="CC50" s="59">
        <f t="shared" si="11"/>
        <v>690.34828468554929</v>
      </c>
      <c r="CD50" s="59">
        <f ca="1">AVERAGE(OFFSET($CC$3,0,0,'Données projet'!$E$12+1,1))-AVERAGE(OFFSET($H$3,0,0,'Données projet'!$E$12+1,1))</f>
        <v>247.30892363953825</v>
      </c>
      <c r="CE50" s="59">
        <f t="shared" si="40"/>
        <v>248.38414731596578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3.5690737369409105</v>
      </c>
      <c r="CL50" s="21">
        <f>EXP(-LN(2)/25)*CL49+(1-EXP(-LN(2)/25))/(LN(2)/25)*Calculateur!CG50*Calculateur!CI50*VLOOKUP('Données projet'!$B$12,Paramètres!$A$1:$I$89,3,0)*0.475*44/12</f>
        <v>6.4665101631277926</v>
      </c>
      <c r="CM50" s="21">
        <f>EXP(-LN(2)/2)*CM49+(1-EXP(-LN(2)/2))/(LN(2)/2)*CG50*CJ50*VLOOKUP('Données projet'!$B$12,Paramètres!$A$1:$I$89,3,0)*0.475*44/12</f>
        <v>5.2452505620938929E-2</v>
      </c>
      <c r="CN50" s="22">
        <f t="shared" si="12"/>
        <v>10.088036405689643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5.875</v>
      </c>
      <c r="N51" s="13">
        <f>IF('Données projet'!$A$36&gt;35,N50+M51-V50,IF(A51&lt;'Données projet'!$A$36,$K$205^A51,IF(A51='Données projet'!$A$36,'Données projet'!$B$36,N50+M51-V50)))</f>
        <v>275.75</v>
      </c>
      <c r="O51" s="13">
        <f>N51*VLOOKUP('Données projet'!$B$9,Paramètres!$A$1:$I$89,3,0)*VLOOKUP('Données projet'!$B$9,Paramètres!$A$1:$I$89,5,0)</f>
        <v>164.89850000000001</v>
      </c>
      <c r="P51" s="13">
        <f t="shared" si="33"/>
        <v>41.94543913753872</v>
      </c>
      <c r="Q51" s="20">
        <f t="shared" si="53"/>
        <v>360.25319399788003</v>
      </c>
      <c r="R51" s="59">
        <f t="shared" si="0"/>
        <v>653.58652733121335</v>
      </c>
      <c r="S51" s="59">
        <f ca="1">AVERAGE(OFFSET($R$3,0,0,'Données projet'!$E$9+1,1))-AVERAGE(OFFSET($H$3,0,0,'Données projet'!$E$9+1,1))</f>
        <v>191.77102466144095</v>
      </c>
      <c r="T51" s="59">
        <f t="shared" si="34"/>
        <v>205.57161411620217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4.3494514916616787</v>
      </c>
      <c r="AA51" s="21">
        <f>EXP(-LN(2)/25)*AA50+(1-EXP(-LN(2)/25))/(LN(2)/25)*Calculateur!V51*Calculateur!X51*VLOOKUP('Données projet'!$B$9,Paramètres!$A$1:$I$89,3,0)*0.475*44/12</f>
        <v>7.4860470752012054</v>
      </c>
      <c r="AB51" s="21">
        <f>EXP(-LN(2)/2)*AB50+(1-EXP(-LN(2)/2))/(LN(2)/2)*V51*Y51*VLOOKUP('Données projet'!$B$9,Paramètres!$A$1:$I$89,3,0)*0.475*44/12</f>
        <v>1.0636117918113589E-2</v>
      </c>
      <c r="AC51" s="22">
        <f t="shared" si="3"/>
        <v>11.846134684780999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12.8</v>
      </c>
      <c r="AI51" s="13">
        <f>IF('Données projet'!$A$62&gt;35,AI50+AH51-AQ50,IF(A51&lt;'Données projet'!$A$62,$AF$205^A51,IF(A51='Données projet'!$A$62,'Données projet'!$B$62,AI50+AH51-AQ50)))</f>
        <v>317.39999999999998</v>
      </c>
      <c r="AJ51" s="13">
        <f>AI51*VLOOKUP('Données projet'!$B$10,Paramètres!$A$1:$I$89,3,0)*VLOOKUP('Données projet'!$B$10,Paramètres!$A$1:$I$89,5,0)</f>
        <v>189.80519999999999</v>
      </c>
      <c r="AK51" s="13">
        <f t="shared" si="35"/>
        <v>47.496882766206909</v>
      </c>
      <c r="AL51" s="20">
        <f t="shared" si="4"/>
        <v>413.30112748447704</v>
      </c>
      <c r="AM51" s="59">
        <f t="shared" si="5"/>
        <v>706.63446081781035</v>
      </c>
      <c r="AN51" s="59">
        <f ca="1">AVERAGE(OFFSET($AM$3,0,0,'Données projet'!$E$10+1,1))-AVERAGE(OFFSET($H$3,0,0,'Données projet'!$E$10+1,1))</f>
        <v>247.30892363953825</v>
      </c>
      <c r="AO51" s="59">
        <f t="shared" si="36"/>
        <v>248.38414731596578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3.4990863778795256</v>
      </c>
      <c r="AV51" s="21">
        <f>EXP(-LN(2)/25)*AV50+(1-EXP(-LN(2)/25))/(LN(2)/25)*Calculateur!AQ51*Calculateur!AS51*VLOOKUP('Données projet'!$B$10,Paramètres!$A$1:$I$89,3,0)*0.475*44/12</f>
        <v>6.2896831026580733</v>
      </c>
      <c r="AW51" s="21">
        <f>EXP(-LN(2)/2)*AW50+(1-EXP(-LN(2)/2))/(LN(2)/2)*AQ51*AT51*VLOOKUP('Données projet'!$B$10,Paramètres!$A$1:$I$89,3,0)*0.475*44/12</f>
        <v>3.7089522414791416E-2</v>
      </c>
      <c r="AX51" s="21">
        <f t="shared" si="6"/>
        <v>9.8258590029523916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21.7</v>
      </c>
      <c r="BD51" s="12">
        <f>IF('Données projet'!$A$88&gt;35,BD50+BC51-BL50,IF(A51&lt;'Données projet'!$A$88,$BA$205^A51,IF(A51='Données projet'!$A$88,'Données projet'!$B$88,BD50+BC51-BL50)))</f>
        <v>511.59999999999968</v>
      </c>
      <c r="BE51" s="13">
        <f>BD51*VLOOKUP('Données projet'!$B$11,Paramètres!$A$1:$I$89,3,0)*VLOOKUP('Données projet'!$B$11,Paramètres!$A$1:$I$89,5,0)</f>
        <v>206.17479999999986</v>
      </c>
      <c r="BF51" s="13">
        <f t="shared" si="37"/>
        <v>51.098791029635215</v>
      </c>
      <c r="BG51" s="20">
        <f t="shared" si="7"/>
        <v>448.08483770994781</v>
      </c>
      <c r="BH51" s="59">
        <f t="shared" si="8"/>
        <v>741.41817104328106</v>
      </c>
      <c r="BI51" s="59">
        <f ca="1">AVERAGE(OFFSET($BH$3,0,0,'Données projet'!$E$11+1,1))-AVERAGE(OFFSET($H$3,0,0,'Données projet'!$E$11+1,1))</f>
        <v>265.97106059040101</v>
      </c>
      <c r="BJ51" s="59">
        <f t="shared" si="38"/>
        <v>240.18718869578237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4.0349368038639746</v>
      </c>
      <c r="BQ51" s="21">
        <f>EXP(-LN(2)/25)*BQ50+(1-EXP(-LN(2)/25))/(LN(2)/25)*Calculateur!BL51*Calculateur!BN51*VLOOKUP('Données projet'!$B$11,Paramètres!$A$1:$I$89,3,0)*0.475*44/12</f>
        <v>6.9699105429211627</v>
      </c>
      <c r="BR51" s="21">
        <f>EXP(-LN(2)/2)*BR50+(1-EXP(-LN(2)/2))/(LN(2)/2)*BL51*BO51*VLOOKUP('Données projet'!$B$11,Paramètres!$A$1:$I$89,3,0)*0.475*44/12</f>
        <v>3.493467371758615E-2</v>
      </c>
      <c r="BS51" s="22">
        <f t="shared" si="9"/>
        <v>11.039782020502724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12.8</v>
      </c>
      <c r="BY51" s="12">
        <f>IF('Données projet'!$A$114&gt;35,BY50+BX51-CG50,IF(A51&lt;'Données projet'!$A$114,$BV$205^A51,IF(A51='Données projet'!$A$114,'Données projet'!$B$114,BY50+BX51-CG50)))</f>
        <v>317.39999999999998</v>
      </c>
      <c r="BZ51" s="13">
        <f>BY51*VLOOKUP('Données projet'!$B$12,Paramètres!$A$1:$I$89,3,0)*VLOOKUP('Données projet'!$B$12,Paramètres!$A$1:$I$89,5,0)</f>
        <v>189.80519999999999</v>
      </c>
      <c r="CA51" s="13">
        <f t="shared" si="39"/>
        <v>47.496882766206909</v>
      </c>
      <c r="CB51" s="20">
        <f t="shared" si="10"/>
        <v>413.30112748447704</v>
      </c>
      <c r="CC51" s="59">
        <f t="shared" si="11"/>
        <v>706.63446081781035</v>
      </c>
      <c r="CD51" s="59">
        <f ca="1">AVERAGE(OFFSET($CC$3,0,0,'Données projet'!$E$12+1,1))-AVERAGE(OFFSET($H$3,0,0,'Données projet'!$E$12+1,1))</f>
        <v>247.30892363953825</v>
      </c>
      <c r="CE51" s="59">
        <f t="shared" si="40"/>
        <v>248.38414731596578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3.4990863778795256</v>
      </c>
      <c r="CL51" s="21">
        <f>EXP(-LN(2)/25)*CL50+(1-EXP(-LN(2)/25))/(LN(2)/25)*Calculateur!CG51*Calculateur!CI51*VLOOKUP('Données projet'!$B$12,Paramètres!$A$1:$I$89,3,0)*0.475*44/12</f>
        <v>6.2896831026580733</v>
      </c>
      <c r="CM51" s="21">
        <f>EXP(-LN(2)/2)*CM50+(1-EXP(-LN(2)/2))/(LN(2)/2)*CG51*CJ51*VLOOKUP('Données projet'!$B$12,Paramètres!$A$1:$I$89,3,0)*0.475*44/12</f>
        <v>3.7089522414791416E-2</v>
      </c>
      <c r="CN51" s="22">
        <f t="shared" si="12"/>
        <v>9.8258590029523916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5.875</v>
      </c>
      <c r="N52" s="13">
        <f>IF('Données projet'!$A$36&gt;35,N51+M52-V51,IF(A52&lt;'Données projet'!$A$36,$K$205^A52,IF(A52='Données projet'!$A$36,'Données projet'!$B$36,N51+M52-V51)))</f>
        <v>281.625</v>
      </c>
      <c r="O52" s="13">
        <f>N52*VLOOKUP('Données projet'!$B$9,Paramètres!$A$1:$I$89,3,0)*VLOOKUP('Données projet'!$B$9,Paramètres!$A$1:$I$89,5,0)</f>
        <v>168.41175000000001</v>
      </c>
      <c r="P52" s="13">
        <f t="shared" si="33"/>
        <v>42.73411432638013</v>
      </c>
      <c r="Q52" s="20">
        <f t="shared" si="53"/>
        <v>367.74571370177881</v>
      </c>
      <c r="R52" s="59">
        <f t="shared" si="0"/>
        <v>661.07904703511213</v>
      </c>
      <c r="S52" s="59">
        <f ca="1">AVERAGE(OFFSET($R$3,0,0,'Données projet'!$E$9+1,1))-AVERAGE(OFFSET($H$3,0,0,'Données projet'!$E$9+1,1))</f>
        <v>191.77102466144095</v>
      </c>
      <c r="T52" s="59">
        <f t="shared" si="34"/>
        <v>205.57161411620217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4.2641614008136504</v>
      </c>
      <c r="AA52" s="21">
        <f>EXP(-LN(2)/25)*AA51+(1-EXP(-LN(2)/25))/(LN(2)/25)*Calculateur!V52*Calculateur!X52*VLOOKUP('Données projet'!$B$9,Paramètres!$A$1:$I$89,3,0)*0.475*44/12</f>
        <v>7.2813407242557222</v>
      </c>
      <c r="AB52" s="21">
        <f>EXP(-LN(2)/2)*AB51+(1-EXP(-LN(2)/2))/(LN(2)/2)*V52*Y52*VLOOKUP('Données projet'!$B$9,Paramètres!$A$1:$I$89,3,0)*0.475*44/12</f>
        <v>7.5208711053978633E-3</v>
      </c>
      <c r="AC52" s="22">
        <f t="shared" si="3"/>
        <v>11.55302299617477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12.8</v>
      </c>
      <c r="AI52" s="13">
        <f>IF('Données projet'!$A$62&gt;35,AI51+AH52-AQ51,IF(A52&lt;'Données projet'!$A$62,$AF$205^A52,IF(A52='Données projet'!$A$62,'Données projet'!$B$62,AI51+AH52-AQ51)))</f>
        <v>330.2</v>
      </c>
      <c r="AJ52" s="13">
        <f>AI52*VLOOKUP('Données projet'!$B$10,Paramètres!$A$1:$I$89,3,0)*VLOOKUP('Données projet'!$B$10,Paramètres!$A$1:$I$89,5,0)</f>
        <v>197.45959999999999</v>
      </c>
      <c r="AK52" s="13">
        <f t="shared" si="35"/>
        <v>49.185450002435452</v>
      </c>
      <c r="AL52" s="20">
        <f t="shared" si="4"/>
        <v>429.57346208757502</v>
      </c>
      <c r="AM52" s="59">
        <f t="shared" si="5"/>
        <v>722.90679542090834</v>
      </c>
      <c r="AN52" s="59">
        <f ca="1">AVERAGE(OFFSET($AM$3,0,0,'Données projet'!$E$10+1,1))-AVERAGE(OFFSET($H$3,0,0,'Données projet'!$E$10+1,1))</f>
        <v>247.30892363953825</v>
      </c>
      <c r="AO52" s="59">
        <f t="shared" si="36"/>
        <v>248.38414731596578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3.4304714282412605</v>
      </c>
      <c r="AV52" s="21">
        <f>EXP(-LN(2)/25)*AV51+(1-EXP(-LN(2)/25))/(LN(2)/25)*Calculateur!AQ52*Calculateur!AS52*VLOOKUP('Données projet'!$B$10,Paramètres!$A$1:$I$89,3,0)*0.475*44/12</f>
        <v>6.117691387455829</v>
      </c>
      <c r="AW52" s="21">
        <f>EXP(-LN(2)/2)*AW51+(1-EXP(-LN(2)/2))/(LN(2)/2)*AQ52*AT52*VLOOKUP('Données projet'!$B$10,Paramètres!$A$1:$I$89,3,0)*0.475*44/12</f>
        <v>2.6226252810469464E-2</v>
      </c>
      <c r="AX52" s="21">
        <f t="shared" si="6"/>
        <v>9.5743890685075588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21.7</v>
      </c>
      <c r="BD52" s="12">
        <f>IF('Données projet'!$A$88&gt;35,BD51+BC52-BL51,IF(A52&lt;'Données projet'!$A$88,$BA$205^A52,IF(A52='Données projet'!$A$88,'Données projet'!$B$88,BD51+BC52-BL51)))</f>
        <v>533.29999999999973</v>
      </c>
      <c r="BE52" s="13">
        <f>BD52*VLOOKUP('Données projet'!$B$11,Paramètres!$A$1:$I$89,3,0)*VLOOKUP('Données projet'!$B$11,Paramètres!$A$1:$I$89,5,0)</f>
        <v>214.9198999999999</v>
      </c>
      <c r="BF52" s="13">
        <f t="shared" si="37"/>
        <v>53.009254310654583</v>
      </c>
      <c r="BG52" s="20">
        <f t="shared" si="7"/>
        <v>466.64327709105652</v>
      </c>
      <c r="BH52" s="59">
        <f t="shared" si="8"/>
        <v>759.97661042438983</v>
      </c>
      <c r="BI52" s="59">
        <f ca="1">AVERAGE(OFFSET($BH$3,0,0,'Données projet'!$E$11+1,1))-AVERAGE(OFFSET($H$3,0,0,'Données projet'!$E$11+1,1))</f>
        <v>265.97106059040101</v>
      </c>
      <c r="BJ52" s="59">
        <f t="shared" si="38"/>
        <v>240.18718869578237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3.955814154208642</v>
      </c>
      <c r="BQ52" s="21">
        <f>EXP(-LN(2)/25)*BQ51+(1-EXP(-LN(2)/25))/(LN(2)/25)*Calculateur!BL52*Calculateur!BN52*VLOOKUP('Données projet'!$B$11,Paramètres!$A$1:$I$89,3,0)*0.475*44/12</f>
        <v>6.7793179725933177</v>
      </c>
      <c r="BR52" s="21">
        <f>EXP(-LN(2)/2)*BR51+(1-EXP(-LN(2)/2))/(LN(2)/2)*BL52*BO52*VLOOKUP('Données projet'!$B$11,Paramètres!$A$1:$I$89,3,0)*0.475*44/12</f>
        <v>2.4702544684244623E-2</v>
      </c>
      <c r="BS52" s="22">
        <f t="shared" si="9"/>
        <v>10.759834671486203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12.8</v>
      </c>
      <c r="BY52" s="12">
        <f>IF('Données projet'!$A$114&gt;35,BY51+BX52-CG51,IF(A52&lt;'Données projet'!$A$114,$BV$205^A52,IF(A52='Données projet'!$A$114,'Données projet'!$B$114,BY51+BX52-CG51)))</f>
        <v>330.2</v>
      </c>
      <c r="BZ52" s="13">
        <f>BY52*VLOOKUP('Données projet'!$B$12,Paramètres!$A$1:$I$89,3,0)*VLOOKUP('Données projet'!$B$12,Paramètres!$A$1:$I$89,5,0)</f>
        <v>197.45959999999999</v>
      </c>
      <c r="CA52" s="13">
        <f t="shared" si="39"/>
        <v>49.185450002435452</v>
      </c>
      <c r="CB52" s="20">
        <f t="shared" si="10"/>
        <v>429.57346208757502</v>
      </c>
      <c r="CC52" s="59">
        <f t="shared" si="11"/>
        <v>722.90679542090834</v>
      </c>
      <c r="CD52" s="59">
        <f ca="1">AVERAGE(OFFSET($CC$3,0,0,'Données projet'!$E$12+1,1))-AVERAGE(OFFSET($H$3,0,0,'Données projet'!$E$12+1,1))</f>
        <v>247.30892363953825</v>
      </c>
      <c r="CE52" s="59">
        <f t="shared" si="40"/>
        <v>248.38414731596578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3.4304714282412605</v>
      </c>
      <c r="CL52" s="21">
        <f>EXP(-LN(2)/25)*CL51+(1-EXP(-LN(2)/25))/(LN(2)/25)*Calculateur!CG52*Calculateur!CI52*VLOOKUP('Données projet'!$B$12,Paramètres!$A$1:$I$89,3,0)*0.475*44/12</f>
        <v>6.117691387455829</v>
      </c>
      <c r="CM52" s="21">
        <f>EXP(-LN(2)/2)*CM51+(1-EXP(-LN(2)/2))/(LN(2)/2)*CG52*CJ52*VLOOKUP('Données projet'!$B$12,Paramètres!$A$1:$I$89,3,0)*0.475*44/12</f>
        <v>2.6226252810469464E-2</v>
      </c>
      <c r="CN52" s="22">
        <f t="shared" si="12"/>
        <v>9.5743890685075588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5.875</v>
      </c>
      <c r="N53" s="13">
        <f>IF('Données projet'!$A$36&gt;35,N52+M53-V52,IF(A53&lt;'Données projet'!$A$36,$K$205^A53,IF(A53='Données projet'!$A$36,'Données projet'!$B$36,N52+M53-V52)))</f>
        <v>287.5</v>
      </c>
      <c r="O53" s="13">
        <f>N53*VLOOKUP('Données projet'!$B$9,Paramètres!$A$1:$I$89,3,0)*VLOOKUP('Données projet'!$B$9,Paramètres!$A$1:$I$89,5,0)</f>
        <v>171.92500000000001</v>
      </c>
      <c r="P53" s="13">
        <f t="shared" si="33"/>
        <v>43.520876607827979</v>
      </c>
      <c r="Q53" s="20">
        <f t="shared" si="53"/>
        <v>375.23490175863367</v>
      </c>
      <c r="R53" s="59">
        <f t="shared" si="0"/>
        <v>668.56823509196693</v>
      </c>
      <c r="S53" s="59">
        <f ca="1">AVERAGE(OFFSET($R$3,0,0,'Données projet'!$E$9+1,1))-AVERAGE(OFFSET($H$3,0,0,'Données projet'!$E$9+1,1))</f>
        <v>191.77102466144095</v>
      </c>
      <c r="T53" s="59">
        <f t="shared" si="34"/>
        <v>205.57161411620217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4.1805437966253338</v>
      </c>
      <c r="AA53" s="21">
        <f>EXP(-LN(2)/25)*AA52+(1-EXP(-LN(2)/25))/(LN(2)/25)*Calculateur!V53*Calculateur!X53*VLOOKUP('Données projet'!$B$9,Paramètres!$A$1:$I$89,3,0)*0.475*44/12</f>
        <v>7.0822320792418827</v>
      </c>
      <c r="AB53" s="21">
        <f>EXP(-LN(2)/2)*AB52+(1-EXP(-LN(2)/2))/(LN(2)/2)*V53*Y53*VLOOKUP('Données projet'!$B$9,Paramètres!$A$1:$I$89,3,0)*0.475*44/12</f>
        <v>5.3180589590567954E-3</v>
      </c>
      <c r="AC53" s="22">
        <f t="shared" si="3"/>
        <v>11.268093934826274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343</v>
      </c>
      <c r="AG53" s="12">
        <f>VLOOKUP(A53,'Données projet'!$A$61:$I$81,9,0)</f>
        <v>12.8</v>
      </c>
      <c r="AH53" s="12">
        <f t="array" ref="AH53">INDEX(AG:AG,MIN(IF(ISNUMBER(AG53:AG249),ROW(AG53:AG249),"")))</f>
        <v>12.8</v>
      </c>
      <c r="AI53" s="13">
        <f>IF('Données projet'!$A$62&gt;35,AI52+AH53-AQ52,IF(A53&lt;'Données projet'!$A$62,$AF$205^A53,IF(A53='Données projet'!$A$62,'Données projet'!$B$62,AI52+AH53-AQ52)))</f>
        <v>343</v>
      </c>
      <c r="AJ53" s="13">
        <f>AI53*VLOOKUP('Données projet'!$B$10,Paramètres!$A$1:$I$89,3,0)*VLOOKUP('Données projet'!$B$10,Paramètres!$A$1:$I$89,5,0)</f>
        <v>205.114</v>
      </c>
      <c r="AK53" s="13">
        <f t="shared" si="35"/>
        <v>50.86641328088507</v>
      </c>
      <c r="AL53" s="20">
        <f t="shared" si="4"/>
        <v>445.83255313087483</v>
      </c>
      <c r="AM53" s="59">
        <f t="shared" si="5"/>
        <v>739.16588646420814</v>
      </c>
      <c r="AN53" s="59">
        <f ca="1">AVERAGE(OFFSET($AM$3,0,0,'Données projet'!$E$10+1,1))-AVERAGE(OFFSET($H$3,0,0,'Données projet'!$E$10+1,1))</f>
        <v>247.30892363953825</v>
      </c>
      <c r="AO53" s="59">
        <f t="shared" si="36"/>
        <v>248.38414731596578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70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3.3632019759144152</v>
      </c>
      <c r="AV53" s="21">
        <f>EXP(-LN(2)/25)*AV52+(1-EXP(-LN(2)/25))/(LN(2)/25)*Calculateur!AQ53*Calculateur!AS53*VLOOKUP('Données projet'!$B$10,Paramètres!$A$1:$I$89,3,0)*0.475*44/12</f>
        <v>5.9504027947504419</v>
      </c>
      <c r="AW53" s="21">
        <f>EXP(-LN(2)/2)*AW52+(1-EXP(-LN(2)/2))/(LN(2)/2)*AQ53*AT53*VLOOKUP('Données projet'!$B$10,Paramètres!$A$1:$I$89,3,0)*0.475*44/12</f>
        <v>1.8544761207395708E-2</v>
      </c>
      <c r="AX53" s="21">
        <f t="shared" si="6"/>
        <v>9.3321495318722523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555</v>
      </c>
      <c r="BB53" s="12">
        <f>VLOOKUP(A53,'Données projet'!$A$87:$I$107,9,0)</f>
        <v>21.7</v>
      </c>
      <c r="BC53" s="12">
        <f t="array" ref="BC53">INDEX(BB:BB,MIN(IF(ISNUMBER(BB53:BB249),ROW(BB53:BB249),"")))</f>
        <v>21.7</v>
      </c>
      <c r="BD53" s="12">
        <f>IF('Données projet'!$A$88&gt;35,BD52+BC53-BL52,IF(A53&lt;'Données projet'!$A$88,$BA$205^A53,IF(A53='Données projet'!$A$88,'Données projet'!$B$88,BD52+BC53-BL52)))</f>
        <v>554.99999999999977</v>
      </c>
      <c r="BE53" s="13">
        <f>BD53*VLOOKUP('Données projet'!$B$11,Paramètres!$A$1:$I$89,3,0)*VLOOKUP('Données projet'!$B$11,Paramètres!$A$1:$I$89,5,0)</f>
        <v>223.66499999999991</v>
      </c>
      <c r="BF53" s="13">
        <f t="shared" si="37"/>
        <v>54.91068778736684</v>
      </c>
      <c r="BG53" s="20">
        <f t="shared" si="7"/>
        <v>485.18598956299707</v>
      </c>
      <c r="BH53" s="59">
        <f t="shared" si="8"/>
        <v>778.51932289633032</v>
      </c>
      <c r="BI53" s="59">
        <f ca="1">AVERAGE(OFFSET($BH$3,0,0,'Données projet'!$E$11+1,1))-AVERAGE(OFFSET($H$3,0,0,'Données projet'!$E$11+1,1))</f>
        <v>265.97106059040101</v>
      </c>
      <c r="BJ53" s="59">
        <f t="shared" si="38"/>
        <v>240.18718869578237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112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3.8782430514529995</v>
      </c>
      <c r="BQ53" s="21">
        <f>EXP(-LN(2)/25)*BQ52+(1-EXP(-LN(2)/25))/(LN(2)/25)*Calculateur!BL53*Calculateur!BN53*VLOOKUP('Données projet'!$B$11,Paramètres!$A$1:$I$89,3,0)*0.475*44/12</f>
        <v>6.5939371661239159</v>
      </c>
      <c r="BR53" s="21">
        <f>EXP(-LN(2)/2)*BR52+(1-EXP(-LN(2)/2))/(LN(2)/2)*BL53*BO53*VLOOKUP('Données projet'!$B$11,Paramètres!$A$1:$I$89,3,0)*0.475*44/12</f>
        <v>1.7467336858793075E-2</v>
      </c>
      <c r="BS53" s="22">
        <f t="shared" si="9"/>
        <v>10.48964755443571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343</v>
      </c>
      <c r="BW53" s="12">
        <f>VLOOKUP(A53,'Données projet'!$A$113:$I$133,9,0)</f>
        <v>12.8</v>
      </c>
      <c r="BX53" s="12">
        <f t="array" ref="BX53">INDEX(BW:BW,MIN(IF(ISNUMBER(BW53:BW249),ROW(BW53:BW249),"")))</f>
        <v>12.8</v>
      </c>
      <c r="BY53" s="12">
        <f>IF('Données projet'!$A$114&gt;35,BY52+BX53-CG52,IF(A53&lt;'Données projet'!$A$114,$BV$205^A53,IF(A53='Données projet'!$A$114,'Données projet'!$B$114,BY52+BX53-CG52)))</f>
        <v>343</v>
      </c>
      <c r="BZ53" s="13">
        <f>BY53*VLOOKUP('Données projet'!$B$12,Paramètres!$A$1:$I$89,3,0)*VLOOKUP('Données projet'!$B$12,Paramètres!$A$1:$I$89,5,0)</f>
        <v>205.114</v>
      </c>
      <c r="CA53" s="13">
        <f t="shared" si="39"/>
        <v>50.86641328088507</v>
      </c>
      <c r="CB53" s="20">
        <f t="shared" si="10"/>
        <v>445.83255313087483</v>
      </c>
      <c r="CC53" s="59">
        <f t="shared" si="11"/>
        <v>739.16588646420814</v>
      </c>
      <c r="CD53" s="59">
        <f ca="1">AVERAGE(OFFSET($CC$3,0,0,'Données projet'!$E$12+1,1))-AVERAGE(OFFSET($H$3,0,0,'Données projet'!$E$12+1,1))</f>
        <v>247.30892363953825</v>
      </c>
      <c r="CE53" s="59">
        <f t="shared" si="40"/>
        <v>248.38414731596578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70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3.3632019759144152</v>
      </c>
      <c r="CL53" s="21">
        <f>EXP(-LN(2)/25)*CL52+(1-EXP(-LN(2)/25))/(LN(2)/25)*Calculateur!CG53*Calculateur!CI53*VLOOKUP('Données projet'!$B$12,Paramètres!$A$1:$I$89,3,0)*0.475*44/12</f>
        <v>5.9504027947504419</v>
      </c>
      <c r="CM53" s="21">
        <f>EXP(-LN(2)/2)*CM52+(1-EXP(-LN(2)/2))/(LN(2)/2)*CG53*CJ53*VLOOKUP('Données projet'!$B$12,Paramètres!$A$1:$I$89,3,0)*0.475*44/12</f>
        <v>1.8544761207395708E-2</v>
      </c>
      <c r="CN53" s="22">
        <f t="shared" si="12"/>
        <v>9.3321495318722523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5.875</v>
      </c>
      <c r="N54" s="13">
        <f>IF('Données projet'!$A$36&gt;35,N53+M54-V53,IF(A54&lt;'Données projet'!$A$36,$K$205^A54,IF(A54='Données projet'!$A$36,'Données projet'!$B$36,N53+M54-V53)))</f>
        <v>293.375</v>
      </c>
      <c r="O54" s="13">
        <f>N54*VLOOKUP('Données projet'!$B$9,Paramètres!$A$1:$I$89,3,0)*VLOOKUP('Données projet'!$B$9,Paramètres!$A$1:$I$89,5,0)</f>
        <v>175.43825000000004</v>
      </c>
      <c r="P54" s="13">
        <f t="shared" si="33"/>
        <v>44.305769576051844</v>
      </c>
      <c r="Q54" s="20">
        <f t="shared" si="53"/>
        <v>382.72083409495696</v>
      </c>
      <c r="R54" s="59">
        <f t="shared" si="0"/>
        <v>676.05416742829027</v>
      </c>
      <c r="S54" s="59">
        <f ca="1">AVERAGE(OFFSET($R$3,0,0,'Données projet'!$E$9+1,1))-AVERAGE(OFFSET($H$3,0,0,'Données projet'!$E$9+1,1))</f>
        <v>191.77102466144095</v>
      </c>
      <c r="T54" s="59">
        <f t="shared" si="34"/>
        <v>205.57161411620217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4.098565882653447</v>
      </c>
      <c r="AA54" s="21">
        <f>EXP(-LN(2)/25)*AA53+(1-EXP(-LN(2)/25))/(LN(2)/25)*Calculateur!V54*Calculateur!X54*VLOOKUP('Données projet'!$B$9,Paramètres!$A$1:$I$89,3,0)*0.475*44/12</f>
        <v>6.888568070596615</v>
      </c>
      <c r="AB54" s="21">
        <f>EXP(-LN(2)/2)*AB53+(1-EXP(-LN(2)/2))/(LN(2)/2)*V54*Y54*VLOOKUP('Données projet'!$B$9,Paramètres!$A$1:$I$89,3,0)*0.475*44/12</f>
        <v>3.7604355526989325E-3</v>
      </c>
      <c r="AC54" s="22">
        <f t="shared" si="3"/>
        <v>10.990894388802761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11.4</v>
      </c>
      <c r="AI54" s="13">
        <f>IF('Données projet'!$A$62&gt;35,AI53+AH54-AQ53,IF(A54&lt;'Données projet'!$A$62,$AF$205^A54,IF(A54='Données projet'!$A$62,'Données projet'!$B$62,AI53+AH54-AQ53)))</f>
        <v>284.39999999999998</v>
      </c>
      <c r="AJ54" s="13">
        <f>AI54*VLOOKUP('Données projet'!$B$10,Paramètres!$A$1:$I$89,3,0)*VLOOKUP('Données projet'!$B$10,Paramètres!$A$1:$I$89,5,0)</f>
        <v>170.07119999999998</v>
      </c>
      <c r="AK54" s="13">
        <f t="shared" si="35"/>
        <v>43.105969628155904</v>
      </c>
      <c r="AL54" s="20">
        <f t="shared" si="4"/>
        <v>371.2835704357048</v>
      </c>
      <c r="AM54" s="59">
        <f t="shared" si="5"/>
        <v>664.61690376903812</v>
      </c>
      <c r="AN54" s="59">
        <f ca="1">AVERAGE(OFFSET($AM$3,0,0,'Données projet'!$E$10+1,1))-AVERAGE(OFFSET($H$3,0,0,'Données projet'!$E$10+1,1))</f>
        <v>247.30892363953825</v>
      </c>
      <c r="AO54" s="59">
        <f t="shared" si="36"/>
        <v>248.38414731596578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3.2972516365173847</v>
      </c>
      <c r="AV54" s="21">
        <f>EXP(-LN(2)/25)*AV53+(1-EXP(-LN(2)/25))/(LN(2)/25)*Calculateur!AQ54*Calculateur!AS54*VLOOKUP('Données projet'!$B$10,Paramètres!$A$1:$I$89,3,0)*0.475*44/12</f>
        <v>5.7876887174099076</v>
      </c>
      <c r="AW54" s="21">
        <f>EXP(-LN(2)/2)*AW53+(1-EXP(-LN(2)/2))/(LN(2)/2)*AQ54*AT54*VLOOKUP('Données projet'!$B$10,Paramètres!$A$1:$I$89,3,0)*0.475*44/12</f>
        <v>1.3113126405234732E-2</v>
      </c>
      <c r="AX54" s="21">
        <f t="shared" si="6"/>
        <v>9.0980534803325277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19</v>
      </c>
      <c r="BD54" s="12">
        <f>IF('Données projet'!$A$88&gt;35,BD53+BC54-BL53,IF(A54&lt;'Données projet'!$A$88,$BA$205^A54,IF(A54='Données projet'!$A$88,'Données projet'!$B$88,BD53+BC54-BL53)))</f>
        <v>461.99999999999977</v>
      </c>
      <c r="BE54" s="13">
        <f>BD54*VLOOKUP('Données projet'!$B$11,Paramètres!$A$1:$I$89,3,0)*VLOOKUP('Données projet'!$B$11,Paramètres!$A$1:$I$89,5,0)</f>
        <v>186.18599999999992</v>
      </c>
      <c r="BF54" s="13">
        <f t="shared" si="37"/>
        <v>46.695739039470418</v>
      </c>
      <c r="BG54" s="20">
        <f t="shared" si="7"/>
        <v>405.60236216041085</v>
      </c>
      <c r="BH54" s="59">
        <f t="shared" si="8"/>
        <v>698.93569549374411</v>
      </c>
      <c r="BI54" s="59">
        <f ca="1">AVERAGE(OFFSET($BH$3,0,0,'Données projet'!$E$11+1,1))-AVERAGE(OFFSET($H$3,0,0,'Données projet'!$E$11+1,1))</f>
        <v>265.97106059040101</v>
      </c>
      <c r="BJ54" s="59">
        <f t="shared" si="38"/>
        <v>240.18718869578237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3.8021930707086944</v>
      </c>
      <c r="BQ54" s="21">
        <f>EXP(-LN(2)/25)*BQ53+(1-EXP(-LN(2)/25))/(LN(2)/25)*Calculateur!BL54*Calculateur!BN54*VLOOKUP('Données projet'!$B$11,Paramètres!$A$1:$I$89,3,0)*0.475*44/12</f>
        <v>6.4136256075561722</v>
      </c>
      <c r="BR54" s="21">
        <f>EXP(-LN(2)/2)*BR53+(1-EXP(-LN(2)/2))/(LN(2)/2)*BL54*BO54*VLOOKUP('Données projet'!$B$11,Paramètres!$A$1:$I$89,3,0)*0.475*44/12</f>
        <v>1.2351272342122311E-2</v>
      </c>
      <c r="BS54" s="22">
        <f t="shared" si="9"/>
        <v>10.22816995060699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11.4</v>
      </c>
      <c r="BY54" s="12">
        <f>IF('Données projet'!$A$114&gt;35,BY53+BX54-CG53,IF(A54&lt;'Données projet'!$A$114,$BV$205^A54,IF(A54='Données projet'!$A$114,'Données projet'!$B$114,BY53+BX54-CG53)))</f>
        <v>284.39999999999998</v>
      </c>
      <c r="BZ54" s="13">
        <f>BY54*VLOOKUP('Données projet'!$B$12,Paramètres!$A$1:$I$89,3,0)*VLOOKUP('Données projet'!$B$12,Paramètres!$A$1:$I$89,5,0)</f>
        <v>170.07119999999998</v>
      </c>
      <c r="CA54" s="13">
        <f t="shared" si="39"/>
        <v>43.105969628155904</v>
      </c>
      <c r="CB54" s="20">
        <f t="shared" si="10"/>
        <v>371.2835704357048</v>
      </c>
      <c r="CC54" s="59">
        <f t="shared" si="11"/>
        <v>664.61690376903812</v>
      </c>
      <c r="CD54" s="59">
        <f ca="1">AVERAGE(OFFSET($CC$3,0,0,'Données projet'!$E$12+1,1))-AVERAGE(OFFSET($H$3,0,0,'Données projet'!$E$12+1,1))</f>
        <v>247.30892363953825</v>
      </c>
      <c r="CE54" s="59">
        <f t="shared" si="40"/>
        <v>248.38414731596578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3.2972516365173847</v>
      </c>
      <c r="CL54" s="21">
        <f>EXP(-LN(2)/25)*CL53+(1-EXP(-LN(2)/25))/(LN(2)/25)*Calculateur!CG54*Calculateur!CI54*VLOOKUP('Données projet'!$B$12,Paramètres!$A$1:$I$89,3,0)*0.475*44/12</f>
        <v>5.7876887174099076</v>
      </c>
      <c r="CM54" s="21">
        <f>EXP(-LN(2)/2)*CM53+(1-EXP(-LN(2)/2))/(LN(2)/2)*CG54*CJ54*VLOOKUP('Données projet'!$B$12,Paramètres!$A$1:$I$89,3,0)*0.475*44/12</f>
        <v>1.3113126405234732E-2</v>
      </c>
      <c r="CN54" s="22">
        <f t="shared" si="12"/>
        <v>9.0980534803325277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5.875</v>
      </c>
      <c r="N55" s="13">
        <f>IF('Données projet'!$A$36&gt;35,N54+M55-V54,IF(A55&lt;'Données projet'!$A$36,$K$205^A55,IF(A55='Données projet'!$A$36,'Données projet'!$B$36,N54+M55-V54)))</f>
        <v>299.25</v>
      </c>
      <c r="O55" s="13">
        <f>N55*VLOOKUP('Données projet'!$B$9,Paramètres!$A$1:$I$89,3,0)*VLOOKUP('Données projet'!$B$9,Paramètres!$A$1:$I$89,5,0)</f>
        <v>178.95150000000001</v>
      </c>
      <c r="P55" s="13">
        <f t="shared" si="33"/>
        <v>45.088834979390157</v>
      </c>
      <c r="Q55" s="20">
        <f t="shared" si="53"/>
        <v>390.20358342243782</v>
      </c>
      <c r="R55" s="59">
        <f t="shared" si="0"/>
        <v>683.53691675577113</v>
      </c>
      <c r="S55" s="59">
        <f ca="1">AVERAGE(OFFSET($R$3,0,0,'Données projet'!$E$9+1,1))-AVERAGE(OFFSET($H$3,0,0,'Données projet'!$E$9+1,1))</f>
        <v>191.77102466144095</v>
      </c>
      <c r="T55" s="59">
        <f t="shared" si="34"/>
        <v>205.57161411620217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4.018195505572959</v>
      </c>
      <c r="AA55" s="21">
        <f>EXP(-LN(2)/25)*AA54+(1-EXP(-LN(2)/25))/(LN(2)/25)*Calculateur!V55*Calculateur!X55*VLOOKUP('Données projet'!$B$9,Paramètres!$A$1:$I$89,3,0)*0.475*44/12</f>
        <v>6.7001998144521</v>
      </c>
      <c r="AB55" s="21">
        <f>EXP(-LN(2)/2)*AB54+(1-EXP(-LN(2)/2))/(LN(2)/2)*V55*Y55*VLOOKUP('Données projet'!$B$9,Paramètres!$A$1:$I$89,3,0)*0.475*44/12</f>
        <v>2.6590294795283981E-3</v>
      </c>
      <c r="AC55" s="22">
        <f t="shared" si="3"/>
        <v>10.721054349504588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11.4</v>
      </c>
      <c r="AI55" s="13">
        <f>IF('Données projet'!$A$62&gt;35,AI54+AH55-AQ54,IF(A55&lt;'Données projet'!$A$62,$AF$205^A55,IF(A55='Données projet'!$A$62,'Données projet'!$B$62,AI54+AH55-AQ54)))</f>
        <v>295.79999999999995</v>
      </c>
      <c r="AJ55" s="13">
        <f>AI55*VLOOKUP('Données projet'!$B$10,Paramètres!$A$1:$I$89,3,0)*VLOOKUP('Données projet'!$B$10,Paramètres!$A$1:$I$89,5,0)</f>
        <v>176.88839999999999</v>
      </c>
      <c r="AK55" s="13">
        <f t="shared" si="35"/>
        <v>44.629211487047861</v>
      </c>
      <c r="AL55" s="20">
        <f t="shared" si="4"/>
        <v>385.80984000660828</v>
      </c>
      <c r="AM55" s="59">
        <f t="shared" si="5"/>
        <v>679.14317333994154</v>
      </c>
      <c r="AN55" s="59">
        <f ca="1">AVERAGE(OFFSET($AM$3,0,0,'Données projet'!$E$10+1,1))-AVERAGE(OFFSET($H$3,0,0,'Données projet'!$E$10+1,1))</f>
        <v>247.30892363953825</v>
      </c>
      <c r="AO55" s="59">
        <f t="shared" si="36"/>
        <v>248.38414731596578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3.2325945430501948</v>
      </c>
      <c r="AV55" s="21">
        <f>EXP(-LN(2)/25)*AV54+(1-EXP(-LN(2)/25))/(LN(2)/25)*Calculateur!AQ55*Calculateur!AS55*VLOOKUP('Données projet'!$B$10,Paramètres!$A$1:$I$89,3,0)*0.475*44/12</f>
        <v>5.6294240650710119</v>
      </c>
      <c r="AW55" s="21">
        <f>EXP(-LN(2)/2)*AW54+(1-EXP(-LN(2)/2))/(LN(2)/2)*AQ55*AT55*VLOOKUP('Données projet'!$B$10,Paramètres!$A$1:$I$89,3,0)*0.475*44/12</f>
        <v>9.2723806036978541E-3</v>
      </c>
      <c r="AX55" s="21">
        <f t="shared" si="6"/>
        <v>8.8712909887249047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19</v>
      </c>
      <c r="BD55" s="12">
        <f>IF('Données projet'!$A$88&gt;35,BD54+BC55-BL54,IF(A55&lt;'Données projet'!$A$88,$BA$205^A55,IF(A55='Données projet'!$A$88,'Données projet'!$B$88,BD54+BC55-BL54)))</f>
        <v>480.99999999999977</v>
      </c>
      <c r="BE55" s="13">
        <f>BD55*VLOOKUP('Données projet'!$B$11,Paramètres!$A$1:$I$89,3,0)*VLOOKUP('Données projet'!$B$11,Paramètres!$A$1:$I$89,5,0)</f>
        <v>193.8429999999999</v>
      </c>
      <c r="BF55" s="13">
        <f t="shared" si="37"/>
        <v>48.388592872536869</v>
      </c>
      <c r="BG55" s="20">
        <f t="shared" si="7"/>
        <v>421.88669091966818</v>
      </c>
      <c r="BH55" s="59">
        <f t="shared" si="8"/>
        <v>715.2200242530015</v>
      </c>
      <c r="BI55" s="59">
        <f ca="1">AVERAGE(OFFSET($BH$3,0,0,'Données projet'!$E$11+1,1))-AVERAGE(OFFSET($H$3,0,0,'Données projet'!$E$11+1,1))</f>
        <v>265.97106059040101</v>
      </c>
      <c r="BJ55" s="59">
        <f t="shared" si="38"/>
        <v>240.18718869578237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3.727634383700877</v>
      </c>
      <c r="BQ55" s="21">
        <f>EXP(-LN(2)/25)*BQ54+(1-EXP(-LN(2)/25))/(LN(2)/25)*Calculateur!BL55*Calculateur!BN55*VLOOKUP('Données projet'!$B$11,Paramètres!$A$1:$I$89,3,0)*0.475*44/12</f>
        <v>6.2382446780396368</v>
      </c>
      <c r="BR55" s="21">
        <f>EXP(-LN(2)/2)*BR54+(1-EXP(-LN(2)/2))/(LN(2)/2)*BL55*BO55*VLOOKUP('Données projet'!$B$11,Paramètres!$A$1:$I$89,3,0)*0.475*44/12</f>
        <v>8.7336684293965374E-3</v>
      </c>
      <c r="BS55" s="22">
        <f t="shared" si="9"/>
        <v>9.9746127301699108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11.4</v>
      </c>
      <c r="BY55" s="12">
        <f>IF('Données projet'!$A$114&gt;35,BY54+BX55-CG54,IF(A55&lt;'Données projet'!$A$114,$BV$205^A55,IF(A55='Données projet'!$A$114,'Données projet'!$B$114,BY54+BX55-CG54)))</f>
        <v>295.79999999999995</v>
      </c>
      <c r="BZ55" s="13">
        <f>BY55*VLOOKUP('Données projet'!$B$12,Paramètres!$A$1:$I$89,3,0)*VLOOKUP('Données projet'!$B$12,Paramètres!$A$1:$I$89,5,0)</f>
        <v>176.88839999999999</v>
      </c>
      <c r="CA55" s="13">
        <f t="shared" si="39"/>
        <v>44.629211487047861</v>
      </c>
      <c r="CB55" s="20">
        <f t="shared" si="10"/>
        <v>385.80984000660828</v>
      </c>
      <c r="CC55" s="59">
        <f t="shared" si="11"/>
        <v>679.14317333994154</v>
      </c>
      <c r="CD55" s="59">
        <f ca="1">AVERAGE(OFFSET($CC$3,0,0,'Données projet'!$E$12+1,1))-AVERAGE(OFFSET($H$3,0,0,'Données projet'!$E$12+1,1))</f>
        <v>247.30892363953825</v>
      </c>
      <c r="CE55" s="59">
        <f t="shared" si="40"/>
        <v>248.38414731596578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3.2325945430501948</v>
      </c>
      <c r="CL55" s="21">
        <f>EXP(-LN(2)/25)*CL54+(1-EXP(-LN(2)/25))/(LN(2)/25)*Calculateur!CG55*Calculateur!CI55*VLOOKUP('Données projet'!$B$12,Paramètres!$A$1:$I$89,3,0)*0.475*44/12</f>
        <v>5.6294240650710119</v>
      </c>
      <c r="CM55" s="21">
        <f>EXP(-LN(2)/2)*CM54+(1-EXP(-LN(2)/2))/(LN(2)/2)*CG55*CJ55*VLOOKUP('Données projet'!$B$12,Paramètres!$A$1:$I$89,3,0)*0.475*44/12</f>
        <v>9.2723806036978541E-3</v>
      </c>
      <c r="CN55" s="22">
        <f t="shared" si="12"/>
        <v>8.8712909887249047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5.875</v>
      </c>
      <c r="N56" s="13">
        <f>IF('Données projet'!$A$36&gt;35,N55+M56-V55,IF(A56&lt;'Données projet'!$A$36,$K$205^A56,IF(A56='Données projet'!$A$36,'Données projet'!$B$36,N55+M56-V55)))</f>
        <v>305.125</v>
      </c>
      <c r="O56" s="13">
        <f>N56*VLOOKUP('Données projet'!$B$9,Paramètres!$A$1:$I$89,3,0)*VLOOKUP('Données projet'!$B$9,Paramètres!$A$1:$I$89,5,0)</f>
        <v>182.46475000000004</v>
      </c>
      <c r="P56" s="13">
        <f t="shared" si="33"/>
        <v>45.870112833182944</v>
      </c>
      <c r="Q56" s="20">
        <f t="shared" si="53"/>
        <v>397.68321943446034</v>
      </c>
      <c r="R56" s="59">
        <f t="shared" si="0"/>
        <v>691.01655276779366</v>
      </c>
      <c r="S56" s="59">
        <f ca="1">AVERAGE(OFFSET($R$3,0,0,'Données projet'!$E$9+1,1))-AVERAGE(OFFSET($H$3,0,0,'Données projet'!$E$9+1,1))</f>
        <v>191.77102466144095</v>
      </c>
      <c r="T56" s="59">
        <f t="shared" si="34"/>
        <v>205.57161411620217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3.9394011425659294</v>
      </c>
      <c r="AA56" s="21">
        <f>EXP(-LN(2)/25)*AA55+(1-EXP(-LN(2)/25))/(LN(2)/25)*Calculateur!V56*Calculateur!X56*VLOOKUP('Données projet'!$B$9,Paramètres!$A$1:$I$89,3,0)*0.475*44/12</f>
        <v>6.5169824981777129</v>
      </c>
      <c r="AB56" s="21">
        <f>EXP(-LN(2)/2)*AB55+(1-EXP(-LN(2)/2))/(LN(2)/2)*V56*Y56*VLOOKUP('Données projet'!$B$9,Paramètres!$A$1:$I$89,3,0)*0.475*44/12</f>
        <v>1.8802177763494665E-3</v>
      </c>
      <c r="AC56" s="22">
        <f t="shared" si="3"/>
        <v>10.458263858519992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11.4</v>
      </c>
      <c r="AI56" s="13">
        <f>IF('Données projet'!$A$62&gt;35,AI55+AH56-AQ55,IF(A56&lt;'Données projet'!$A$62,$AF$205^A56,IF(A56='Données projet'!$A$62,'Données projet'!$B$62,AI55+AH56-AQ55)))</f>
        <v>307.19999999999993</v>
      </c>
      <c r="AJ56" s="13">
        <f>AI56*VLOOKUP('Données projet'!$B$10,Paramètres!$A$1:$I$89,3,0)*VLOOKUP('Données projet'!$B$10,Paramètres!$A$1:$I$89,5,0)</f>
        <v>183.70559999999998</v>
      </c>
      <c r="AK56" s="13">
        <f t="shared" si="35"/>
        <v>46.145633597806309</v>
      </c>
      <c r="AL56" s="20">
        <f t="shared" si="4"/>
        <v>400.32423184951267</v>
      </c>
      <c r="AM56" s="59">
        <f t="shared" si="5"/>
        <v>693.65756518284593</v>
      </c>
      <c r="AN56" s="59">
        <f ca="1">AVERAGE(OFFSET($AM$3,0,0,'Données projet'!$E$10+1,1))-AVERAGE(OFFSET($H$3,0,0,'Données projet'!$E$10+1,1))</f>
        <v>247.30892363953825</v>
      </c>
      <c r="AO56" s="59">
        <f t="shared" si="36"/>
        <v>248.38414731596578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3.1692053357489636</v>
      </c>
      <c r="AV56" s="21">
        <f>EXP(-LN(2)/25)*AV55+(1-EXP(-LN(2)/25))/(LN(2)/25)*Calculateur!AQ56*Calculateur!AS56*VLOOKUP('Données projet'!$B$10,Paramètres!$A$1:$I$89,3,0)*0.475*44/12</f>
        <v>5.4754871679730996</v>
      </c>
      <c r="AW56" s="21">
        <f>EXP(-LN(2)/2)*AW55+(1-EXP(-LN(2)/2))/(LN(2)/2)*AQ56*AT56*VLOOKUP('Données projet'!$B$10,Paramètres!$A$1:$I$89,3,0)*0.475*44/12</f>
        <v>6.5565632026173661E-3</v>
      </c>
      <c r="AX56" s="21">
        <f t="shared" si="6"/>
        <v>8.6512490669246791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19</v>
      </c>
      <c r="BD56" s="12">
        <f>IF('Données projet'!$A$88&gt;35,BD55+BC56-BL55,IF(A56&lt;'Données projet'!$A$88,$BA$205^A56,IF(A56='Données projet'!$A$88,'Données projet'!$B$88,BD55+BC56-BL55)))</f>
        <v>499.99999999999977</v>
      </c>
      <c r="BE56" s="13">
        <f>BD56*VLOOKUP('Données projet'!$B$11,Paramètres!$A$1:$I$89,3,0)*VLOOKUP('Données projet'!$B$11,Paramètres!$A$1:$I$89,5,0)</f>
        <v>201.49999999999989</v>
      </c>
      <c r="BF56" s="13">
        <f t="shared" si="37"/>
        <v>50.073678830689126</v>
      </c>
      <c r="BG56" s="20">
        <f t="shared" si="7"/>
        <v>438.15749063011668</v>
      </c>
      <c r="BH56" s="59">
        <f t="shared" si="8"/>
        <v>731.49082396345</v>
      </c>
      <c r="BI56" s="59">
        <f ca="1">AVERAGE(OFFSET($BH$3,0,0,'Données projet'!$E$11+1,1))-AVERAGE(OFFSET($H$3,0,0,'Données projet'!$E$11+1,1))</f>
        <v>265.97106059040101</v>
      </c>
      <c r="BJ56" s="59">
        <f t="shared" si="38"/>
        <v>240.18718869578237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3.6545377470689742</v>
      </c>
      <c r="BQ56" s="21">
        <f>EXP(-LN(2)/25)*BQ55+(1-EXP(-LN(2)/25))/(LN(2)/25)*Calculateur!BL56*Calculateur!BN56*VLOOKUP('Données projet'!$B$11,Paramètres!$A$1:$I$89,3,0)*0.475*44/12</f>
        <v>6.0676595492636132</v>
      </c>
      <c r="BR56" s="21">
        <f>EXP(-LN(2)/2)*BR55+(1-EXP(-LN(2)/2))/(LN(2)/2)*BL56*BO56*VLOOKUP('Données projet'!$B$11,Paramètres!$A$1:$I$89,3,0)*0.475*44/12</f>
        <v>6.1756361710611557E-3</v>
      </c>
      <c r="BS56" s="22">
        <f t="shared" si="9"/>
        <v>9.7283729325036497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11.4</v>
      </c>
      <c r="BY56" s="12">
        <f>IF('Données projet'!$A$114&gt;35,BY55+BX56-CG55,IF(A56&lt;'Données projet'!$A$114,$BV$205^A56,IF(A56='Données projet'!$A$114,'Données projet'!$B$114,BY55+BX56-CG55)))</f>
        <v>307.19999999999993</v>
      </c>
      <c r="BZ56" s="13">
        <f>BY56*VLOOKUP('Données projet'!$B$12,Paramètres!$A$1:$I$89,3,0)*VLOOKUP('Données projet'!$B$12,Paramètres!$A$1:$I$89,5,0)</f>
        <v>183.70559999999998</v>
      </c>
      <c r="CA56" s="13">
        <f t="shared" si="39"/>
        <v>46.145633597806309</v>
      </c>
      <c r="CB56" s="20">
        <f t="shared" si="10"/>
        <v>400.32423184951267</v>
      </c>
      <c r="CC56" s="59">
        <f t="shared" si="11"/>
        <v>693.65756518284593</v>
      </c>
      <c r="CD56" s="59">
        <f ca="1">AVERAGE(OFFSET($CC$3,0,0,'Données projet'!$E$12+1,1))-AVERAGE(OFFSET($H$3,0,0,'Données projet'!$E$12+1,1))</f>
        <v>247.30892363953825</v>
      </c>
      <c r="CE56" s="59">
        <f t="shared" si="40"/>
        <v>248.38414731596578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3.1692053357489636</v>
      </c>
      <c r="CL56" s="21">
        <f>EXP(-LN(2)/25)*CL55+(1-EXP(-LN(2)/25))/(LN(2)/25)*Calculateur!CG56*Calculateur!CI56*VLOOKUP('Données projet'!$B$12,Paramètres!$A$1:$I$89,3,0)*0.475*44/12</f>
        <v>5.4754871679730996</v>
      </c>
      <c r="CM56" s="21">
        <f>EXP(-LN(2)/2)*CM55+(1-EXP(-LN(2)/2))/(LN(2)/2)*CG56*CJ56*VLOOKUP('Données projet'!$B$12,Paramètres!$A$1:$I$89,3,0)*0.475*44/12</f>
        <v>6.5565632026173661E-3</v>
      </c>
      <c r="CN56" s="22">
        <f t="shared" si="12"/>
        <v>8.6512490669246791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311</v>
      </c>
      <c r="L57" s="12">
        <f>VLOOKUP(A57,'Données projet'!$A$35:$I$55,9,0)</f>
        <v>5.875</v>
      </c>
      <c r="M57" s="12">
        <f t="array" ref="M57">INDEX(L:L,MIN(IF(ISNUMBER(L57:L253),ROW(L57:L253),"")))</f>
        <v>5.875</v>
      </c>
      <c r="N57" s="13">
        <f>IF('Données projet'!$A$36&gt;35,N56+M57-V56,IF(A57&lt;'Données projet'!$A$36,$K$205^A57,IF(A57='Données projet'!$A$36,'Données projet'!$B$36,N56+M57-V56)))</f>
        <v>311</v>
      </c>
      <c r="O57" s="13">
        <f>N57*VLOOKUP('Données projet'!$B$9,Paramètres!$A$1:$I$89,3,0)*VLOOKUP('Données projet'!$B$9,Paramètres!$A$1:$I$89,5,0)</f>
        <v>185.97800000000001</v>
      </c>
      <c r="P57" s="13">
        <f t="shared" si="33"/>
        <v>46.649641523668571</v>
      </c>
      <c r="Q57" s="20">
        <f t="shared" si="53"/>
        <v>405.15980898705612</v>
      </c>
      <c r="R57" s="59">
        <f t="shared" si="0"/>
        <v>698.49314232038944</v>
      </c>
      <c r="S57" s="59">
        <f ca="1">AVERAGE(OFFSET($R$3,0,0,'Données projet'!$E$9+1,1))-AVERAGE(OFFSET($H$3,0,0,'Données projet'!$E$9+1,1))</f>
        <v>191.77102466144095</v>
      </c>
      <c r="T57" s="59">
        <f t="shared" si="34"/>
        <v>205.57161411620217</v>
      </c>
      <c r="U57" s="15">
        <f>IF(ISNA(VLOOKUP(A57,'Données projet'!$A$35:$I$55,3,0)),0,VLOOKUP(A57,'Données projet'!$A$35:$I$55,3,0))</f>
        <v>8</v>
      </c>
      <c r="V57" s="15">
        <f>IF(ISNA(VLOOKUP(A57,'Données projet'!$A$35:$I$55,4,0)),0,VLOOKUP(A57,'Données projet'!$A$35:$I$55,4,0))</f>
        <v>16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3.8621518889576518</v>
      </c>
      <c r="AA57" s="21">
        <f>EXP(-LN(2)/25)*AA56+(1-EXP(-LN(2)/25))/(LN(2)/25)*Calculateur!V57*Calculateur!X57*VLOOKUP('Données projet'!$B$9,Paramètres!$A$1:$I$89,3,0)*0.475*44/12</f>
        <v>6.3387752690518289</v>
      </c>
      <c r="AB57" s="21">
        <f>EXP(-LN(2)/2)*AB56+(1-EXP(-LN(2)/2))/(LN(2)/2)*V57*Y57*VLOOKUP('Données projet'!$B$9,Paramètres!$A$1:$I$89,3,0)*0.475*44/12</f>
        <v>1.3295147397641993E-3</v>
      </c>
      <c r="AC57" s="22">
        <f t="shared" si="3"/>
        <v>10.202256672749245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11.4</v>
      </c>
      <c r="AI57" s="13">
        <f>IF('Données projet'!$A$62&gt;35,AI56+AH57-AQ56,IF(A57&lt;'Données projet'!$A$62,$AF$205^A57,IF(A57='Données projet'!$A$62,'Données projet'!$B$62,AI56+AH57-AQ56)))</f>
        <v>318.59999999999991</v>
      </c>
      <c r="AJ57" s="13">
        <f>AI57*VLOOKUP('Données projet'!$B$10,Paramètres!$A$1:$I$89,3,0)*VLOOKUP('Données projet'!$B$10,Paramètres!$A$1:$I$89,5,0)</f>
        <v>190.52279999999996</v>
      </c>
      <c r="AK57" s="13">
        <f t="shared" si="35"/>
        <v>47.655518017541539</v>
      </c>
      <c r="AL57" s="20">
        <f t="shared" si="4"/>
        <v>414.82723721388476</v>
      </c>
      <c r="AM57" s="59">
        <f t="shared" si="5"/>
        <v>708.16057054721807</v>
      </c>
      <c r="AN57" s="59">
        <f ca="1">AVERAGE(OFFSET($AM$3,0,0,'Données projet'!$E$10+1,1))-AVERAGE(OFFSET($H$3,0,0,'Données projet'!$E$10+1,1))</f>
        <v>247.30892363953825</v>
      </c>
      <c r="AO57" s="59">
        <f t="shared" si="36"/>
        <v>248.38414731596578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3.1070591521393109</v>
      </c>
      <c r="AV57" s="21">
        <f>EXP(-LN(2)/25)*AV56+(1-EXP(-LN(2)/25))/(LN(2)/25)*Calculateur!AQ57*Calculateur!AS57*VLOOKUP('Données projet'!$B$10,Paramètres!$A$1:$I$89,3,0)*0.475*44/12</f>
        <v>5.3257596834215191</v>
      </c>
      <c r="AW57" s="21">
        <f>EXP(-LN(2)/2)*AW56+(1-EXP(-LN(2)/2))/(LN(2)/2)*AQ57*AT57*VLOOKUP('Données projet'!$B$10,Paramètres!$A$1:$I$89,3,0)*0.475*44/12</f>
        <v>4.636190301848927E-3</v>
      </c>
      <c r="AX57" s="21">
        <f t="shared" si="6"/>
        <v>8.437455025862679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19</v>
      </c>
      <c r="BD57" s="12">
        <f>IF('Données projet'!$A$88&gt;35,BD56+BC57-BL56,IF(A57&lt;'Données projet'!$A$88,$BA$205^A57,IF(A57='Données projet'!$A$88,'Données projet'!$B$88,BD56+BC57-BL56)))</f>
        <v>518.99999999999977</v>
      </c>
      <c r="BE57" s="13">
        <f>BD57*VLOOKUP('Données projet'!$B$11,Paramètres!$A$1:$I$89,3,0)*VLOOKUP('Données projet'!$B$11,Paramètres!$A$1:$I$89,5,0)</f>
        <v>209.15699999999993</v>
      </c>
      <c r="BF57" s="13">
        <f t="shared" si="37"/>
        <v>51.751325885486501</v>
      </c>
      <c r="BG57" s="20">
        <f t="shared" si="7"/>
        <v>454.41533425055553</v>
      </c>
      <c r="BH57" s="59">
        <f t="shared" si="8"/>
        <v>747.74866758388885</v>
      </c>
      <c r="BI57" s="59">
        <f ca="1">AVERAGE(OFFSET($BH$3,0,0,'Données projet'!$E$11+1,1))-AVERAGE(OFFSET($H$3,0,0,'Données projet'!$E$11+1,1))</f>
        <v>265.97106059040101</v>
      </c>
      <c r="BJ57" s="59">
        <f t="shared" si="38"/>
        <v>240.18718869578237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3.5828744908968773</v>
      </c>
      <c r="BQ57" s="21">
        <f>EXP(-LN(2)/25)*BQ56+(1-EXP(-LN(2)/25))/(LN(2)/25)*Calculateur!BL57*Calculateur!BN57*VLOOKUP('Données projet'!$B$11,Paramètres!$A$1:$I$89,3,0)*0.475*44/12</f>
        <v>5.9017390798046518</v>
      </c>
      <c r="BR57" s="21">
        <f>EXP(-LN(2)/2)*BR56+(1-EXP(-LN(2)/2))/(LN(2)/2)*BL57*BO57*VLOOKUP('Données projet'!$B$11,Paramètres!$A$1:$I$89,3,0)*0.475*44/12</f>
        <v>4.3668342146982687E-3</v>
      </c>
      <c r="BS57" s="22">
        <f t="shared" si="9"/>
        <v>9.4889804049162283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11.4</v>
      </c>
      <c r="BY57" s="12">
        <f>IF('Données projet'!$A$114&gt;35,BY56+BX57-CG56,IF(A57&lt;'Données projet'!$A$114,$BV$205^A57,IF(A57='Données projet'!$A$114,'Données projet'!$B$114,BY56+BX57-CG56)))</f>
        <v>318.59999999999991</v>
      </c>
      <c r="BZ57" s="13">
        <f>BY57*VLOOKUP('Données projet'!$B$12,Paramètres!$A$1:$I$89,3,0)*VLOOKUP('Données projet'!$B$12,Paramètres!$A$1:$I$89,5,0)</f>
        <v>190.52279999999996</v>
      </c>
      <c r="CA57" s="13">
        <f t="shared" si="39"/>
        <v>47.655518017541539</v>
      </c>
      <c r="CB57" s="20">
        <f t="shared" si="10"/>
        <v>414.82723721388476</v>
      </c>
      <c r="CC57" s="59">
        <f t="shared" si="11"/>
        <v>708.16057054721807</v>
      </c>
      <c r="CD57" s="59">
        <f ca="1">AVERAGE(OFFSET($CC$3,0,0,'Données projet'!$E$12+1,1))-AVERAGE(OFFSET($H$3,0,0,'Données projet'!$E$12+1,1))</f>
        <v>247.30892363953825</v>
      </c>
      <c r="CE57" s="59">
        <f t="shared" si="40"/>
        <v>248.38414731596578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3.1070591521393109</v>
      </c>
      <c r="CL57" s="21">
        <f>EXP(-LN(2)/25)*CL56+(1-EXP(-LN(2)/25))/(LN(2)/25)*Calculateur!CG57*Calculateur!CI57*VLOOKUP('Données projet'!$B$12,Paramètres!$A$1:$I$89,3,0)*0.475*44/12</f>
        <v>5.3257596834215191</v>
      </c>
      <c r="CM57" s="21">
        <f>EXP(-LN(2)/2)*CM56+(1-EXP(-LN(2)/2))/(LN(2)/2)*CG57*CJ57*VLOOKUP('Données projet'!$B$12,Paramètres!$A$1:$I$89,3,0)*0.475*44/12</f>
        <v>4.636190301848927E-3</v>
      </c>
      <c r="CN57" s="22">
        <f t="shared" si="12"/>
        <v>8.437455025862679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2.625</v>
      </c>
      <c r="N58" s="13">
        <f>IF('Données projet'!$A$36&gt;35,N57+M58-V57,IF(A58&lt;'Données projet'!$A$36,$K$205^A58,IF(A58='Données projet'!$A$36,'Données projet'!$B$36,N57+M58-V57)))</f>
        <v>297.625</v>
      </c>
      <c r="O58" s="13">
        <f>N58*VLOOKUP('Données projet'!$B$9,Paramètres!$A$1:$I$89,3,0)*VLOOKUP('Données projet'!$B$9,Paramètres!$A$1:$I$89,5,0)</f>
        <v>177.97975</v>
      </c>
      <c r="P58" s="13">
        <f t="shared" si="33"/>
        <v>44.87242292972973</v>
      </c>
      <c r="Q58" s="20">
        <f t="shared" si="53"/>
        <v>388.13420118594587</v>
      </c>
      <c r="R58" s="59">
        <f t="shared" si="0"/>
        <v>681.46753451927918</v>
      </c>
      <c r="S58" s="59">
        <f ca="1">AVERAGE(OFFSET($R$3,0,0,'Données projet'!$E$9+1,1))-AVERAGE(OFFSET($H$3,0,0,'Données projet'!$E$9+1,1))</f>
        <v>191.77102466144095</v>
      </c>
      <c r="T58" s="59">
        <f t="shared" si="34"/>
        <v>205.57161411620217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3.7864174460952404</v>
      </c>
      <c r="AA58" s="21">
        <f>EXP(-LN(2)/25)*AA57+(1-EXP(-LN(2)/25))/(LN(2)/25)*Calculateur!V58*Calculateur!X58*VLOOKUP('Données projet'!$B$9,Paramètres!$A$1:$I$89,3,0)*0.475*44/12</f>
        <v>6.1654411259779023</v>
      </c>
      <c r="AB58" s="21">
        <f>EXP(-LN(2)/2)*AB57+(1-EXP(-LN(2)/2))/(LN(2)/2)*V58*Y58*VLOOKUP('Données projet'!$B$9,Paramètres!$A$1:$I$89,3,0)*0.475*44/12</f>
        <v>9.4010888817473346E-4</v>
      </c>
      <c r="AC58" s="22">
        <f t="shared" si="3"/>
        <v>9.9527986809613171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11.4</v>
      </c>
      <c r="AI58" s="13">
        <f>IF('Données projet'!$A$62&gt;35,AI57+AH58-AQ57,IF(A58&lt;'Données projet'!$A$62,$AF$205^A58,IF(A58='Données projet'!$A$62,'Données projet'!$B$62,AI57+AH58-AQ57)))</f>
        <v>329.99999999999989</v>
      </c>
      <c r="AJ58" s="13">
        <f>AI58*VLOOKUP('Données projet'!$B$10,Paramètres!$A$1:$I$89,3,0)*VLOOKUP('Données projet'!$B$10,Paramètres!$A$1:$I$89,5,0)</f>
        <v>197.33999999999995</v>
      </c>
      <c r="AK58" s="13">
        <f t="shared" si="35"/>
        <v>49.159125474269977</v>
      </c>
      <c r="AL58" s="20">
        <f t="shared" si="4"/>
        <v>429.31931020102019</v>
      </c>
      <c r="AM58" s="59">
        <f t="shared" si="5"/>
        <v>722.6526435343535</v>
      </c>
      <c r="AN58" s="59">
        <f ca="1">AVERAGE(OFFSET($AM$3,0,0,'Données projet'!$E$10+1,1))-AVERAGE(OFFSET($H$3,0,0,'Données projet'!$E$10+1,1))</f>
        <v>247.30892363953825</v>
      </c>
      <c r="AO58" s="59">
        <f t="shared" si="36"/>
        <v>248.38414731596578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3.0461316172848143</v>
      </c>
      <c r="AV58" s="21">
        <f>EXP(-LN(2)/25)*AV57+(1-EXP(-LN(2)/25))/(LN(2)/25)*Calculateur!AQ58*Calculateur!AS58*VLOOKUP('Données projet'!$B$10,Paramètres!$A$1:$I$89,3,0)*0.475*44/12</f>
        <v>5.1801265048088281</v>
      </c>
      <c r="AW58" s="21">
        <f>EXP(-LN(2)/2)*AW57+(1-EXP(-LN(2)/2))/(LN(2)/2)*AQ58*AT58*VLOOKUP('Données projet'!$B$10,Paramètres!$A$1:$I$89,3,0)*0.475*44/12</f>
        <v>3.278281601308683E-3</v>
      </c>
      <c r="AX58" s="21">
        <f t="shared" si="6"/>
        <v>8.2295364036949525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19</v>
      </c>
      <c r="BD58" s="12">
        <f>IF('Données projet'!$A$88&gt;35,BD57+BC58-BL57,IF(A58&lt;'Données projet'!$A$88,$BA$205^A58,IF(A58='Données projet'!$A$88,'Données projet'!$B$88,BD57+BC58-BL57)))</f>
        <v>537.99999999999977</v>
      </c>
      <c r="BE58" s="13">
        <f>BD58*VLOOKUP('Données projet'!$B$11,Paramètres!$A$1:$I$89,3,0)*VLOOKUP('Données projet'!$B$11,Paramètres!$A$1:$I$89,5,0)</f>
        <v>216.81399999999991</v>
      </c>
      <c r="BF58" s="13">
        <f t="shared" si="37"/>
        <v>53.421837556984002</v>
      </c>
      <c r="BG58" s="20">
        <f t="shared" si="7"/>
        <v>470.66075041174707</v>
      </c>
      <c r="BH58" s="59">
        <f t="shared" si="8"/>
        <v>763.99408374508039</v>
      </c>
      <c r="BI58" s="59">
        <f ca="1">AVERAGE(OFFSET($BH$3,0,0,'Données projet'!$E$11+1,1))-AVERAGE(OFFSET($H$3,0,0,'Données projet'!$E$11+1,1))</f>
        <v>265.97106059040101</v>
      </c>
      <c r="BJ58" s="59">
        <f t="shared" si="38"/>
        <v>240.18718869578237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3.5126165074680449</v>
      </c>
      <c r="BQ58" s="21">
        <f>EXP(-LN(2)/25)*BQ57+(1-EXP(-LN(2)/25))/(LN(2)/25)*Calculateur!BL58*Calculateur!BN58*VLOOKUP('Données projet'!$B$11,Paramètres!$A$1:$I$89,3,0)*0.475*44/12</f>
        <v>5.7403557143084241</v>
      </c>
      <c r="BR58" s="21">
        <f>EXP(-LN(2)/2)*BR57+(1-EXP(-LN(2)/2))/(LN(2)/2)*BL58*BO58*VLOOKUP('Données projet'!$B$11,Paramètres!$A$1:$I$89,3,0)*0.475*44/12</f>
        <v>3.0878180855305778E-3</v>
      </c>
      <c r="BS58" s="22">
        <f t="shared" si="9"/>
        <v>9.2560600398619997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11.4</v>
      </c>
      <c r="BY58" s="12">
        <f>IF('Données projet'!$A$114&gt;35,BY57+BX58-CG57,IF(A58&lt;'Données projet'!$A$114,$BV$205^A58,IF(A58='Données projet'!$A$114,'Données projet'!$B$114,BY57+BX58-CG57)))</f>
        <v>329.99999999999989</v>
      </c>
      <c r="BZ58" s="13">
        <f>BY58*VLOOKUP('Données projet'!$B$12,Paramètres!$A$1:$I$89,3,0)*VLOOKUP('Données projet'!$B$12,Paramètres!$A$1:$I$89,5,0)</f>
        <v>197.33999999999995</v>
      </c>
      <c r="CA58" s="13">
        <f t="shared" si="39"/>
        <v>49.159125474269977</v>
      </c>
      <c r="CB58" s="20">
        <f t="shared" si="10"/>
        <v>429.31931020102019</v>
      </c>
      <c r="CC58" s="59">
        <f t="shared" si="11"/>
        <v>722.6526435343535</v>
      </c>
      <c r="CD58" s="59">
        <f ca="1">AVERAGE(OFFSET($CC$3,0,0,'Données projet'!$E$12+1,1))-AVERAGE(OFFSET($H$3,0,0,'Données projet'!$E$12+1,1))</f>
        <v>247.30892363953825</v>
      </c>
      <c r="CE58" s="59">
        <f t="shared" si="40"/>
        <v>248.38414731596578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3.0461316172848143</v>
      </c>
      <c r="CL58" s="21">
        <f>EXP(-LN(2)/25)*CL57+(1-EXP(-LN(2)/25))/(LN(2)/25)*Calculateur!CG58*Calculateur!CI58*VLOOKUP('Données projet'!$B$12,Paramètres!$A$1:$I$89,3,0)*0.475*44/12</f>
        <v>5.1801265048088281</v>
      </c>
      <c r="CM58" s="21">
        <f>EXP(-LN(2)/2)*CM57+(1-EXP(-LN(2)/2))/(LN(2)/2)*CG58*CJ58*VLOOKUP('Données projet'!$B$12,Paramètres!$A$1:$I$89,3,0)*0.475*44/12</f>
        <v>3.278281601308683E-3</v>
      </c>
      <c r="CN58" s="22">
        <f t="shared" si="12"/>
        <v>8.2295364036949525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2.625</v>
      </c>
      <c r="N59" s="13">
        <f>IF('Données projet'!$A$36&gt;35,N58+M59-V58,IF(A59&lt;'Données projet'!$A$36,$K$205^A59,IF(A59='Données projet'!$A$36,'Données projet'!$B$36,N58+M59-V58)))</f>
        <v>300.25</v>
      </c>
      <c r="O59" s="13">
        <f>N59*VLOOKUP('Données projet'!$B$9,Paramètres!$A$1:$I$89,3,0)*VLOOKUP('Données projet'!$B$9,Paramètres!$A$1:$I$89,5,0)</f>
        <v>179.54950000000002</v>
      </c>
      <c r="P59" s="13">
        <f t="shared" si="33"/>
        <v>45.221943603548368</v>
      </c>
      <c r="Q59" s="20">
        <f t="shared" si="53"/>
        <v>391.47693094284676</v>
      </c>
      <c r="R59" s="59">
        <f t="shared" si="0"/>
        <v>684.81026427618008</v>
      </c>
      <c r="S59" s="59">
        <f ca="1">AVERAGE(OFFSET($R$3,0,0,'Données projet'!$E$9+1,1))-AVERAGE(OFFSET($H$3,0,0,'Données projet'!$E$9+1,1))</f>
        <v>191.77102466144095</v>
      </c>
      <c r="T59" s="59">
        <f t="shared" si="34"/>
        <v>205.57161411620217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3.7121681094639118</v>
      </c>
      <c r="AA59" s="21">
        <f>EXP(-LN(2)/25)*AA58+(1-EXP(-LN(2)/25))/(LN(2)/25)*Calculateur!V59*Calculateur!X59*VLOOKUP('Données projet'!$B$9,Paramètres!$A$1:$I$89,3,0)*0.475*44/12</f>
        <v>5.9968468141615787</v>
      </c>
      <c r="AB59" s="21">
        <f>EXP(-LN(2)/2)*AB58+(1-EXP(-LN(2)/2))/(LN(2)/2)*V59*Y59*VLOOKUP('Données projet'!$B$9,Paramètres!$A$1:$I$89,3,0)*0.475*44/12</f>
        <v>6.6475736988209975E-4</v>
      </c>
      <c r="AC59" s="22">
        <f t="shared" si="3"/>
        <v>9.7096796809953734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11.4</v>
      </c>
      <c r="AI59" s="13">
        <f>IF('Données projet'!$A$62&gt;35,AI58+AH59-AQ58,IF(A59&lt;'Données projet'!$A$62,$AF$205^A59,IF(A59='Données projet'!$A$62,'Données projet'!$B$62,AI58+AH59-AQ58)))</f>
        <v>341.39999999999986</v>
      </c>
      <c r="AJ59" s="13">
        <f>AI59*VLOOKUP('Données projet'!$B$10,Paramètres!$A$1:$I$89,3,0)*VLOOKUP('Données projet'!$B$10,Paramètres!$A$1:$I$89,5,0)</f>
        <v>204.15719999999996</v>
      </c>
      <c r="AK59" s="13">
        <f t="shared" si="35"/>
        <v>50.656697660408256</v>
      </c>
      <c r="AL59" s="20">
        <f t="shared" si="4"/>
        <v>443.80087175854425</v>
      </c>
      <c r="AM59" s="59">
        <f t="shared" si="5"/>
        <v>737.13420509187756</v>
      </c>
      <c r="AN59" s="59">
        <f ca="1">AVERAGE(OFFSET($AM$3,0,0,'Données projet'!$E$10+1,1))-AVERAGE(OFFSET($H$3,0,0,'Données projet'!$E$10+1,1))</f>
        <v>247.30892363953825</v>
      </c>
      <c r="AO59" s="59">
        <f t="shared" si="36"/>
        <v>248.38414731596578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2.9863988342266876</v>
      </c>
      <c r="AV59" s="21">
        <f>EXP(-LN(2)/25)*AV58+(1-EXP(-LN(2)/25))/(LN(2)/25)*Calculateur!AQ59*Calculateur!AS59*VLOOKUP('Données projet'!$B$10,Paramètres!$A$1:$I$89,3,0)*0.475*44/12</f>
        <v>5.0384756731238172</v>
      </c>
      <c r="AW59" s="21">
        <f>EXP(-LN(2)/2)*AW58+(1-EXP(-LN(2)/2))/(LN(2)/2)*AQ59*AT59*VLOOKUP('Données projet'!$B$10,Paramètres!$A$1:$I$89,3,0)*0.475*44/12</f>
        <v>2.3180951509244635E-3</v>
      </c>
      <c r="AX59" s="21">
        <f t="shared" si="6"/>
        <v>8.0271926025014295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19</v>
      </c>
      <c r="BD59" s="12">
        <f>IF('Données projet'!$A$88&gt;35,BD58+BC59-BL58,IF(A59&lt;'Données projet'!$A$88,$BA$205^A59,IF(A59='Données projet'!$A$88,'Données projet'!$B$88,BD58+BC59-BL58)))</f>
        <v>556.99999999999977</v>
      </c>
      <c r="BE59" s="13">
        <f>BD59*VLOOKUP('Données projet'!$B$11,Paramètres!$A$1:$I$89,3,0)*VLOOKUP('Données projet'!$B$11,Paramètres!$A$1:$I$89,5,0)</f>
        <v>224.47099999999992</v>
      </c>
      <c r="BF59" s="13">
        <f t="shared" si="37"/>
        <v>55.085494711528057</v>
      </c>
      <c r="BG59" s="20">
        <f t="shared" si="7"/>
        <v>486.89422828924461</v>
      </c>
      <c r="BH59" s="59">
        <f t="shared" si="8"/>
        <v>780.22756162257792</v>
      </c>
      <c r="BI59" s="59">
        <f ca="1">AVERAGE(OFFSET($BH$3,0,0,'Données projet'!$E$11+1,1))-AVERAGE(OFFSET($H$3,0,0,'Données projet'!$E$11+1,1))</f>
        <v>265.97106059040101</v>
      </c>
      <c r="BJ59" s="59">
        <f t="shared" si="38"/>
        <v>240.18718869578237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3.4437362402411131</v>
      </c>
      <c r="BQ59" s="21">
        <f>EXP(-LN(2)/25)*BQ58+(1-EXP(-LN(2)/25))/(LN(2)/25)*Calculateur!BL59*Calculateur!BN59*VLOOKUP('Données projet'!$B$11,Paramètres!$A$1:$I$89,3,0)*0.475*44/12</f>
        <v>5.583385385428473</v>
      </c>
      <c r="BR59" s="21">
        <f>EXP(-LN(2)/2)*BR58+(1-EXP(-LN(2)/2))/(LN(2)/2)*BL59*BO59*VLOOKUP('Données projet'!$B$11,Paramètres!$A$1:$I$89,3,0)*0.475*44/12</f>
        <v>2.1834171073491344E-3</v>
      </c>
      <c r="BS59" s="22">
        <f t="shared" si="9"/>
        <v>9.0293050427769348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11.4</v>
      </c>
      <c r="BY59" s="12">
        <f>IF('Données projet'!$A$114&gt;35,BY58+BX59-CG58,IF(A59&lt;'Données projet'!$A$114,$BV$205^A59,IF(A59='Données projet'!$A$114,'Données projet'!$B$114,BY58+BX59-CG58)))</f>
        <v>341.39999999999986</v>
      </c>
      <c r="BZ59" s="13">
        <f>BY59*VLOOKUP('Données projet'!$B$12,Paramètres!$A$1:$I$89,3,0)*VLOOKUP('Données projet'!$B$12,Paramètres!$A$1:$I$89,5,0)</f>
        <v>204.15719999999996</v>
      </c>
      <c r="CA59" s="13">
        <f t="shared" si="39"/>
        <v>50.656697660408256</v>
      </c>
      <c r="CB59" s="20">
        <f t="shared" si="10"/>
        <v>443.80087175854425</v>
      </c>
      <c r="CC59" s="59">
        <f t="shared" si="11"/>
        <v>737.13420509187756</v>
      </c>
      <c r="CD59" s="59">
        <f ca="1">AVERAGE(OFFSET($CC$3,0,0,'Données projet'!$E$12+1,1))-AVERAGE(OFFSET($H$3,0,0,'Données projet'!$E$12+1,1))</f>
        <v>247.30892363953825</v>
      </c>
      <c r="CE59" s="59">
        <f t="shared" si="40"/>
        <v>248.38414731596578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2.9863988342266876</v>
      </c>
      <c r="CL59" s="21">
        <f>EXP(-LN(2)/25)*CL58+(1-EXP(-LN(2)/25))/(LN(2)/25)*Calculateur!CG59*Calculateur!CI59*VLOOKUP('Données projet'!$B$12,Paramètres!$A$1:$I$89,3,0)*0.475*44/12</f>
        <v>5.0384756731238172</v>
      </c>
      <c r="CM59" s="21">
        <f>EXP(-LN(2)/2)*CM58+(1-EXP(-LN(2)/2))/(LN(2)/2)*CG59*CJ59*VLOOKUP('Données projet'!$B$12,Paramètres!$A$1:$I$89,3,0)*0.475*44/12</f>
        <v>2.3180951509244635E-3</v>
      </c>
      <c r="CN59" s="22">
        <f t="shared" si="12"/>
        <v>8.0271926025014295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2.625</v>
      </c>
      <c r="N60" s="13">
        <f>IF('Données projet'!$A$36&gt;35,N59+M60-V59,IF(A60&lt;'Données projet'!$A$36,$K$205^A60,IF(A60='Données projet'!$A$36,'Données projet'!$B$36,N59+M60-V59)))</f>
        <v>302.875</v>
      </c>
      <c r="O60" s="13">
        <f>N60*VLOOKUP('Données projet'!$B$9,Paramètres!$A$1:$I$89,3,0)*VLOOKUP('Données projet'!$B$9,Paramètres!$A$1:$I$89,5,0)</f>
        <v>181.11925000000002</v>
      </c>
      <c r="P60" s="13">
        <f t="shared" si="33"/>
        <v>45.571108763102352</v>
      </c>
      <c r="Q60" s="20">
        <f t="shared" si="53"/>
        <v>394.81904151240332</v>
      </c>
      <c r="R60" s="59">
        <f t="shared" si="0"/>
        <v>688.15237484573663</v>
      </c>
      <c r="S60" s="59">
        <f ca="1">AVERAGE(OFFSET($R$3,0,0,'Données projet'!$E$9+1,1))-AVERAGE(OFFSET($H$3,0,0,'Données projet'!$E$9+1,1))</f>
        <v>191.77102466144095</v>
      </c>
      <c r="T60" s="59">
        <f t="shared" si="34"/>
        <v>205.57161411620217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3.6393747570363004</v>
      </c>
      <c r="AA60" s="21">
        <f>EXP(-LN(2)/25)*AA59+(1-EXP(-LN(2)/25))/(LN(2)/25)*Calculateur!V60*Calculateur!X60*VLOOKUP('Données projet'!$B$9,Paramètres!$A$1:$I$89,3,0)*0.475*44/12</f>
        <v>5.832862722667862</v>
      </c>
      <c r="AB60" s="21">
        <f>EXP(-LN(2)/2)*AB59+(1-EXP(-LN(2)/2))/(LN(2)/2)*V60*Y60*VLOOKUP('Données projet'!$B$9,Paramètres!$A$1:$I$89,3,0)*0.475*44/12</f>
        <v>4.7005444408736678E-4</v>
      </c>
      <c r="AC60" s="22">
        <f t="shared" si="3"/>
        <v>9.472707534148249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11.4</v>
      </c>
      <c r="AI60" s="13">
        <f>IF('Données projet'!$A$62&gt;35,AI59+AH60-AQ59,IF(A60&lt;'Données projet'!$A$62,$AF$205^A60,IF(A60='Données projet'!$A$62,'Données projet'!$B$62,AI59+AH60-AQ59)))</f>
        <v>352.79999999999984</v>
      </c>
      <c r="AJ60" s="13">
        <f>AI60*VLOOKUP('Données projet'!$B$10,Paramètres!$A$1:$I$89,3,0)*VLOOKUP('Données projet'!$B$10,Paramètres!$A$1:$I$89,5,0)</f>
        <v>210.97439999999992</v>
      </c>
      <c r="AK60" s="13">
        <f t="shared" si="35"/>
        <v>52.148459211324706</v>
      </c>
      <c r="AL60" s="20">
        <f t="shared" si="4"/>
        <v>458.27231312639037</v>
      </c>
      <c r="AM60" s="59">
        <f t="shared" si="5"/>
        <v>751.60564645972363</v>
      </c>
      <c r="AN60" s="59">
        <f ca="1">AVERAGE(OFFSET($AM$3,0,0,'Données projet'!$E$10+1,1))-AVERAGE(OFFSET($H$3,0,0,'Données projet'!$E$10+1,1))</f>
        <v>247.30892363953825</v>
      </c>
      <c r="AO60" s="59">
        <f t="shared" si="36"/>
        <v>248.38414731596578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2.9278373746109305</v>
      </c>
      <c r="AV60" s="21">
        <f>EXP(-LN(2)/25)*AV59+(1-EXP(-LN(2)/25))/(LN(2)/25)*Calculateur!AQ60*Calculateur!AS60*VLOOKUP('Données projet'!$B$10,Paramètres!$A$1:$I$89,3,0)*0.475*44/12</f>
        <v>4.9006982908803263</v>
      </c>
      <c r="AW60" s="21">
        <f>EXP(-LN(2)/2)*AW59+(1-EXP(-LN(2)/2))/(LN(2)/2)*AQ60*AT60*VLOOKUP('Données projet'!$B$10,Paramètres!$A$1:$I$89,3,0)*0.475*44/12</f>
        <v>1.6391408006543415E-3</v>
      </c>
      <c r="AX60" s="21">
        <f t="shared" si="6"/>
        <v>7.8301748062919119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19</v>
      </c>
      <c r="BD60" s="12">
        <f>IF('Données projet'!$A$88&gt;35,BD59+BC60-BL59,IF(A60&lt;'Données projet'!$A$88,$BA$205^A60,IF(A60='Données projet'!$A$88,'Données projet'!$B$88,BD59+BC60-BL59)))</f>
        <v>575.99999999999977</v>
      </c>
      <c r="BE60" s="13">
        <f>BD60*VLOOKUP('Données projet'!$B$11,Paramètres!$A$1:$I$89,3,0)*VLOOKUP('Données projet'!$B$11,Paramètres!$A$1:$I$89,5,0)</f>
        <v>232.1279999999999</v>
      </c>
      <c r="BF60" s="13">
        <f t="shared" si="37"/>
        <v>56.742557967082348</v>
      </c>
      <c r="BG60" s="20">
        <f t="shared" si="7"/>
        <v>503.11622179266823</v>
      </c>
      <c r="BH60" s="59">
        <f t="shared" si="8"/>
        <v>796.44955512600154</v>
      </c>
      <c r="BI60" s="59">
        <f ca="1">AVERAGE(OFFSET($BH$3,0,0,'Données projet'!$E$11+1,1))-AVERAGE(OFFSET($H$3,0,0,'Données projet'!$E$11+1,1))</f>
        <v>265.97106059040101</v>
      </c>
      <c r="BJ60" s="59">
        <f t="shared" si="38"/>
        <v>240.18718869578237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3.3762066730416871</v>
      </c>
      <c r="BQ60" s="21">
        <f>EXP(-LN(2)/25)*BQ59+(1-EXP(-LN(2)/25))/(LN(2)/25)*Calculateur!BL60*Calculateur!BN60*VLOOKUP('Données projet'!$B$11,Paramètres!$A$1:$I$89,3,0)*0.475*44/12</f>
        <v>5.4307074184464552</v>
      </c>
      <c r="BR60" s="21">
        <f>EXP(-LN(2)/2)*BR59+(1-EXP(-LN(2)/2))/(LN(2)/2)*BL60*BO60*VLOOKUP('Données projet'!$B$11,Paramètres!$A$1:$I$89,3,0)*0.475*44/12</f>
        <v>1.5439090427652889E-3</v>
      </c>
      <c r="BS60" s="22">
        <f t="shared" si="9"/>
        <v>8.8084580005309068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11.4</v>
      </c>
      <c r="BY60" s="12">
        <f>IF('Données projet'!$A$114&gt;35,BY59+BX60-CG59,IF(A60&lt;'Données projet'!$A$114,$BV$205^A60,IF(A60='Données projet'!$A$114,'Données projet'!$B$114,BY59+BX60-CG59)))</f>
        <v>352.79999999999984</v>
      </c>
      <c r="BZ60" s="13">
        <f>BY60*VLOOKUP('Données projet'!$B$12,Paramètres!$A$1:$I$89,3,0)*VLOOKUP('Données projet'!$B$12,Paramètres!$A$1:$I$89,5,0)</f>
        <v>210.97439999999992</v>
      </c>
      <c r="CA60" s="13">
        <f t="shared" si="39"/>
        <v>52.148459211324706</v>
      </c>
      <c r="CB60" s="20">
        <f t="shared" si="10"/>
        <v>458.27231312639037</v>
      </c>
      <c r="CC60" s="59">
        <f t="shared" si="11"/>
        <v>751.60564645972363</v>
      </c>
      <c r="CD60" s="59">
        <f ca="1">AVERAGE(OFFSET($CC$3,0,0,'Données projet'!$E$12+1,1))-AVERAGE(OFFSET($H$3,0,0,'Données projet'!$E$12+1,1))</f>
        <v>247.30892363953825</v>
      </c>
      <c r="CE60" s="59">
        <f t="shared" si="40"/>
        <v>248.38414731596578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2.9278373746109305</v>
      </c>
      <c r="CL60" s="21">
        <f>EXP(-LN(2)/25)*CL59+(1-EXP(-LN(2)/25))/(LN(2)/25)*Calculateur!CG60*Calculateur!CI60*VLOOKUP('Données projet'!$B$12,Paramètres!$A$1:$I$89,3,0)*0.475*44/12</f>
        <v>4.9006982908803263</v>
      </c>
      <c r="CM60" s="21">
        <f>EXP(-LN(2)/2)*CM59+(1-EXP(-LN(2)/2))/(LN(2)/2)*CG60*CJ60*VLOOKUP('Données projet'!$B$12,Paramètres!$A$1:$I$89,3,0)*0.475*44/12</f>
        <v>1.6391408006543415E-3</v>
      </c>
      <c r="CN60" s="22">
        <f t="shared" si="12"/>
        <v>7.8301748062919119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2.625</v>
      </c>
      <c r="N61" s="13">
        <f>IF('Données projet'!$A$36&gt;35,N60+M61-V60,IF(A61&lt;'Données projet'!$A$36,$K$205^A61,IF(A61='Données projet'!$A$36,'Données projet'!$B$36,N60+M61-V60)))</f>
        <v>305.5</v>
      </c>
      <c r="O61" s="13">
        <f>N61*VLOOKUP('Données projet'!$B$9,Paramètres!$A$1:$I$89,3,0)*VLOOKUP('Données projet'!$B$9,Paramètres!$A$1:$I$89,5,0)</f>
        <v>182.68900000000002</v>
      </c>
      <c r="P61" s="13">
        <f t="shared" si="33"/>
        <v>45.919921846619154</v>
      </c>
      <c r="Q61" s="20">
        <f t="shared" si="53"/>
        <v>398.16053888286166</v>
      </c>
      <c r="R61" s="59">
        <f t="shared" si="0"/>
        <v>691.49387221619497</v>
      </c>
      <c r="S61" s="59">
        <f ca="1">AVERAGE(OFFSET($R$3,0,0,'Données projet'!$E$9+1,1))-AVERAGE(OFFSET($H$3,0,0,'Données projet'!$E$9+1,1))</f>
        <v>191.77102466144095</v>
      </c>
      <c r="T61" s="59">
        <f t="shared" si="34"/>
        <v>205.57161411620217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3.5680088378502335</v>
      </c>
      <c r="AA61" s="21">
        <f>EXP(-LN(2)/25)*AA60+(1-EXP(-LN(2)/25))/(LN(2)/25)*Calculateur!V61*Calculateur!X61*VLOOKUP('Données projet'!$B$9,Paramètres!$A$1:$I$89,3,0)*0.475*44/12</f>
        <v>5.6733627847795898</v>
      </c>
      <c r="AB61" s="21">
        <f>EXP(-LN(2)/2)*AB60+(1-EXP(-LN(2)/2))/(LN(2)/2)*V61*Y61*VLOOKUP('Données projet'!$B$9,Paramètres!$A$1:$I$89,3,0)*0.475*44/12</f>
        <v>3.3237868494104993E-4</v>
      </c>
      <c r="AC61" s="22">
        <f t="shared" si="3"/>
        <v>9.2417040013147655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11.4</v>
      </c>
      <c r="AI61" s="13">
        <f>IF('Données projet'!$A$62&gt;35,AI60+AH61-AQ60,IF(A61&lt;'Données projet'!$A$62,$AF$205^A61,IF(A61='Données projet'!$A$62,'Données projet'!$B$62,AI60+AH61-AQ60)))</f>
        <v>364.19999999999982</v>
      </c>
      <c r="AJ61" s="13">
        <f>AI61*VLOOKUP('Données projet'!$B$10,Paramètres!$A$1:$I$89,3,0)*VLOOKUP('Données projet'!$B$10,Paramètres!$A$1:$I$89,5,0)</f>
        <v>217.7915999999999</v>
      </c>
      <c r="AK61" s="13">
        <f t="shared" si="35"/>
        <v>53.634619420976641</v>
      </c>
      <c r="AL61" s="20">
        <f t="shared" si="4"/>
        <v>472.73399882486751</v>
      </c>
      <c r="AM61" s="59">
        <f t="shared" si="5"/>
        <v>766.06733215820077</v>
      </c>
      <c r="AN61" s="59">
        <f ca="1">AVERAGE(OFFSET($AM$3,0,0,'Données projet'!$E$10+1,1))-AVERAGE(OFFSET($H$3,0,0,'Données projet'!$E$10+1,1))</f>
        <v>247.30892363953825</v>
      </c>
      <c r="AO61" s="59">
        <f t="shared" si="36"/>
        <v>248.38414731596578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2.8704242694992752</v>
      </c>
      <c r="AV61" s="21">
        <f>EXP(-LN(2)/25)*AV60+(1-EXP(-LN(2)/25))/(LN(2)/25)*Calculateur!AQ61*Calculateur!AS61*VLOOKUP('Données projet'!$B$10,Paramètres!$A$1:$I$89,3,0)*0.475*44/12</f>
        <v>4.7666884383996813</v>
      </c>
      <c r="AW61" s="21">
        <f>EXP(-LN(2)/2)*AW60+(1-EXP(-LN(2)/2))/(LN(2)/2)*AQ61*AT61*VLOOKUP('Données projet'!$B$10,Paramètres!$A$1:$I$89,3,0)*0.475*44/12</f>
        <v>1.1590475754622318E-3</v>
      </c>
      <c r="AX61" s="21">
        <f t="shared" si="6"/>
        <v>7.6382717554744186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19</v>
      </c>
      <c r="BD61" s="12">
        <f>IF('Données projet'!$A$88&gt;35,BD60+BC61-BL60,IF(A61&lt;'Données projet'!$A$88,$BA$205^A61,IF(A61='Données projet'!$A$88,'Données projet'!$B$88,BD60+BC61-BL60)))</f>
        <v>594.99999999999977</v>
      </c>
      <c r="BE61" s="13">
        <f>BD61*VLOOKUP('Données projet'!$B$11,Paramètres!$A$1:$I$89,3,0)*VLOOKUP('Données projet'!$B$11,Paramètres!$A$1:$I$89,5,0)</f>
        <v>239.78499999999991</v>
      </c>
      <c r="BF61" s="13">
        <f t="shared" si="37"/>
        <v>58.393269772268816</v>
      </c>
      <c r="BG61" s="20">
        <f t="shared" si="7"/>
        <v>519.32715318670137</v>
      </c>
      <c r="BH61" s="59">
        <f t="shared" si="8"/>
        <v>812.66048652003474</v>
      </c>
      <c r="BI61" s="59">
        <f ca="1">AVERAGE(OFFSET($BH$3,0,0,'Données projet'!$E$11+1,1))-AVERAGE(OFFSET($H$3,0,0,'Données projet'!$E$11+1,1))</f>
        <v>265.97106059040101</v>
      </c>
      <c r="BJ61" s="59">
        <f t="shared" si="38"/>
        <v>240.18718869578237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3.3100013194660729</v>
      </c>
      <c r="BQ61" s="21">
        <f>EXP(-LN(2)/25)*BQ60+(1-EXP(-LN(2)/25))/(LN(2)/25)*Calculateur!BL61*Calculateur!BN61*VLOOKUP('Données projet'!$B$11,Paramètres!$A$1:$I$89,3,0)*0.475*44/12</f>
        <v>5.2822044385005462</v>
      </c>
      <c r="BR61" s="21">
        <f>EXP(-LN(2)/2)*BR60+(1-EXP(-LN(2)/2))/(LN(2)/2)*BL61*BO61*VLOOKUP('Données projet'!$B$11,Paramètres!$A$1:$I$89,3,0)*0.475*44/12</f>
        <v>1.0917085536745672E-3</v>
      </c>
      <c r="BS61" s="22">
        <f t="shared" si="9"/>
        <v>8.5932974665202941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11.4</v>
      </c>
      <c r="BY61" s="12">
        <f>IF('Données projet'!$A$114&gt;35,BY60+BX61-CG60,IF(A61&lt;'Données projet'!$A$114,$BV$205^A61,IF(A61='Données projet'!$A$114,'Données projet'!$B$114,BY60+BX61-CG60)))</f>
        <v>364.19999999999982</v>
      </c>
      <c r="BZ61" s="13">
        <f>BY61*VLOOKUP('Données projet'!$B$12,Paramètres!$A$1:$I$89,3,0)*VLOOKUP('Données projet'!$B$12,Paramètres!$A$1:$I$89,5,0)</f>
        <v>217.7915999999999</v>
      </c>
      <c r="CA61" s="13">
        <f t="shared" si="39"/>
        <v>53.634619420976641</v>
      </c>
      <c r="CB61" s="20">
        <f t="shared" si="10"/>
        <v>472.73399882486751</v>
      </c>
      <c r="CC61" s="59">
        <f t="shared" si="11"/>
        <v>766.06733215820077</v>
      </c>
      <c r="CD61" s="59">
        <f ca="1">AVERAGE(OFFSET($CC$3,0,0,'Données projet'!$E$12+1,1))-AVERAGE(OFFSET($H$3,0,0,'Données projet'!$E$12+1,1))</f>
        <v>247.30892363953825</v>
      </c>
      <c r="CE61" s="59">
        <f t="shared" si="40"/>
        <v>248.38414731596578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2.8704242694992752</v>
      </c>
      <c r="CL61" s="21">
        <f>EXP(-LN(2)/25)*CL60+(1-EXP(-LN(2)/25))/(LN(2)/25)*Calculateur!CG61*Calculateur!CI61*VLOOKUP('Données projet'!$B$12,Paramètres!$A$1:$I$89,3,0)*0.475*44/12</f>
        <v>4.7666884383996813</v>
      </c>
      <c r="CM61" s="21">
        <f>EXP(-LN(2)/2)*CM60+(1-EXP(-LN(2)/2))/(LN(2)/2)*CG61*CJ61*VLOOKUP('Données projet'!$B$12,Paramètres!$A$1:$I$89,3,0)*0.475*44/12</f>
        <v>1.1590475754622318E-3</v>
      </c>
      <c r="CN61" s="22">
        <f t="shared" si="12"/>
        <v>7.6382717554744186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2.625</v>
      </c>
      <c r="N62" s="13">
        <f>IF('Données projet'!$A$36&gt;35,N61+M62-V61,IF(A62&lt;'Données projet'!$A$36,$K$205^A62,IF(A62='Données projet'!$A$36,'Données projet'!$B$36,N61+M62-V61)))</f>
        <v>308.125</v>
      </c>
      <c r="O62" s="13">
        <f>N62*VLOOKUP('Données projet'!$B$9,Paramètres!$A$1:$I$89,3,0)*VLOOKUP('Données projet'!$B$9,Paramètres!$A$1:$I$89,5,0)</f>
        <v>184.25875000000002</v>
      </c>
      <c r="P62" s="13">
        <f t="shared" si="33"/>
        <v>46.26838622983076</v>
      </c>
      <c r="Q62" s="20">
        <f t="shared" si="53"/>
        <v>401.50142893362187</v>
      </c>
      <c r="R62" s="59">
        <f t="shared" si="0"/>
        <v>694.83476226695518</v>
      </c>
      <c r="S62" s="59">
        <f ca="1">AVERAGE(OFFSET($R$3,0,0,'Données projet'!$E$9+1,1))-AVERAGE(OFFSET($H$3,0,0,'Données projet'!$E$9+1,1))</f>
        <v>191.77102466144095</v>
      </c>
      <c r="T62" s="59">
        <f t="shared" si="34"/>
        <v>205.57161411620217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3.4980423608104925</v>
      </c>
      <c r="AA62" s="21">
        <f>EXP(-LN(2)/25)*AA61+(1-EXP(-LN(2)/25))/(LN(2)/25)*Calculateur!V62*Calculateur!X62*VLOOKUP('Données projet'!$B$9,Paramètres!$A$1:$I$89,3,0)*0.475*44/12</f>
        <v>5.5182243810806098</v>
      </c>
      <c r="AB62" s="21">
        <f>EXP(-LN(2)/2)*AB61+(1-EXP(-LN(2)/2))/(LN(2)/2)*V62*Y62*VLOOKUP('Données projet'!$B$9,Paramètres!$A$1:$I$89,3,0)*0.475*44/12</f>
        <v>2.3502722204368342E-4</v>
      </c>
      <c r="AC62" s="22">
        <f t="shared" si="3"/>
        <v>9.0165017691131446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11.4</v>
      </c>
      <c r="AI62" s="13">
        <f>IF('Données projet'!$A$62&gt;35,AI61+AH62-AQ61,IF(A62&lt;'Données projet'!$A$62,$AF$205^A62,IF(A62='Données projet'!$A$62,'Données projet'!$B$62,AI61+AH62-AQ61)))</f>
        <v>375.5999999999998</v>
      </c>
      <c r="AJ62" s="13">
        <f>AI62*VLOOKUP('Données projet'!$B$10,Paramètres!$A$1:$I$89,3,0)*VLOOKUP('Données projet'!$B$10,Paramètres!$A$1:$I$89,5,0)</f>
        <v>224.60879999999992</v>
      </c>
      <c r="AK62" s="13">
        <f t="shared" si="35"/>
        <v>55.11537373670501</v>
      </c>
      <c r="AL62" s="20">
        <f t="shared" si="4"/>
        <v>487.1862692580944</v>
      </c>
      <c r="AM62" s="59">
        <f t="shared" si="5"/>
        <v>780.51960259142766</v>
      </c>
      <c r="AN62" s="59">
        <f ca="1">AVERAGE(OFFSET($AM$3,0,0,'Données projet'!$E$10+1,1))-AVERAGE(OFFSET($H$3,0,0,'Données projet'!$E$10+1,1))</f>
        <v>247.30892363953825</v>
      </c>
      <c r="AO62" s="59">
        <f t="shared" si="36"/>
        <v>248.38414731596578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2.814137000360323</v>
      </c>
      <c r="AV62" s="21">
        <f>EXP(-LN(2)/25)*AV61+(1-EXP(-LN(2)/25))/(LN(2)/25)*Calculateur!AQ62*Calculateur!AS62*VLOOKUP('Données projet'!$B$10,Paramètres!$A$1:$I$89,3,0)*0.475*44/12</f>
        <v>4.6363430923823916</v>
      </c>
      <c r="AW62" s="21">
        <f>EXP(-LN(2)/2)*AW61+(1-EXP(-LN(2)/2))/(LN(2)/2)*AQ62*AT62*VLOOKUP('Données projet'!$B$10,Paramètres!$A$1:$I$89,3,0)*0.475*44/12</f>
        <v>8.1957040032717076E-4</v>
      </c>
      <c r="AX62" s="21">
        <f t="shared" si="6"/>
        <v>7.4512996631430415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19</v>
      </c>
      <c r="BD62" s="12">
        <f>IF('Données projet'!$A$88&gt;35,BD61+BC62-BL61,IF(A62&lt;'Données projet'!$A$88,$BA$205^A62,IF(A62='Données projet'!$A$88,'Données projet'!$B$88,BD61+BC62-BL61)))</f>
        <v>613.99999999999977</v>
      </c>
      <c r="BE62" s="13">
        <f>BD62*VLOOKUP('Données projet'!$B$11,Paramètres!$A$1:$I$89,3,0)*VLOOKUP('Données projet'!$B$11,Paramètres!$A$1:$I$89,5,0)</f>
        <v>247.44199999999989</v>
      </c>
      <c r="BF62" s="13">
        <f t="shared" si="37"/>
        <v>60.03785621239043</v>
      </c>
      <c r="BG62" s="20">
        <f t="shared" si="7"/>
        <v>535.52741623657971</v>
      </c>
      <c r="BH62" s="59">
        <f t="shared" si="8"/>
        <v>828.86074956991297</v>
      </c>
      <c r="BI62" s="59">
        <f ca="1">AVERAGE(OFFSET($BH$3,0,0,'Données projet'!$E$11+1,1))-AVERAGE(OFFSET($H$3,0,0,'Données projet'!$E$11+1,1))</f>
        <v>265.97106059040101</v>
      </c>
      <c r="BJ62" s="59">
        <f t="shared" si="38"/>
        <v>240.18718869578237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3.2450942124927979</v>
      </c>
      <c r="BQ62" s="21">
        <f>EXP(-LN(2)/25)*BQ61+(1-EXP(-LN(2)/25))/(LN(2)/25)*Calculateur!BL62*Calculateur!BN62*VLOOKUP('Données projet'!$B$11,Paramètres!$A$1:$I$89,3,0)*0.475*44/12</f>
        <v>5.1377622803506897</v>
      </c>
      <c r="BR62" s="21">
        <f>EXP(-LN(2)/2)*BR61+(1-EXP(-LN(2)/2))/(LN(2)/2)*BL62*BO62*VLOOKUP('Données projet'!$B$11,Paramètres!$A$1:$I$89,3,0)*0.475*44/12</f>
        <v>7.7195452138264446E-4</v>
      </c>
      <c r="BS62" s="22">
        <f t="shared" si="9"/>
        <v>8.3836284473648703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11.4</v>
      </c>
      <c r="BY62" s="12">
        <f>IF('Données projet'!$A$114&gt;35,BY61+BX62-CG61,IF(A62&lt;'Données projet'!$A$114,$BV$205^A62,IF(A62='Données projet'!$A$114,'Données projet'!$B$114,BY61+BX62-CG61)))</f>
        <v>375.5999999999998</v>
      </c>
      <c r="BZ62" s="13">
        <f>BY62*VLOOKUP('Données projet'!$B$12,Paramètres!$A$1:$I$89,3,0)*VLOOKUP('Données projet'!$B$12,Paramètres!$A$1:$I$89,5,0)</f>
        <v>224.60879999999992</v>
      </c>
      <c r="CA62" s="13">
        <f t="shared" si="39"/>
        <v>55.11537373670501</v>
      </c>
      <c r="CB62" s="20">
        <f t="shared" si="10"/>
        <v>487.1862692580944</v>
      </c>
      <c r="CC62" s="59">
        <f t="shared" si="11"/>
        <v>780.51960259142766</v>
      </c>
      <c r="CD62" s="59">
        <f ca="1">AVERAGE(OFFSET($CC$3,0,0,'Données projet'!$E$12+1,1))-AVERAGE(OFFSET($H$3,0,0,'Données projet'!$E$12+1,1))</f>
        <v>247.30892363953825</v>
      </c>
      <c r="CE62" s="59">
        <f t="shared" si="40"/>
        <v>248.38414731596578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2.814137000360323</v>
      </c>
      <c r="CL62" s="21">
        <f>EXP(-LN(2)/25)*CL61+(1-EXP(-LN(2)/25))/(LN(2)/25)*Calculateur!CG62*Calculateur!CI62*VLOOKUP('Données projet'!$B$12,Paramètres!$A$1:$I$89,3,0)*0.475*44/12</f>
        <v>4.6363430923823916</v>
      </c>
      <c r="CM62" s="21">
        <f>EXP(-LN(2)/2)*CM61+(1-EXP(-LN(2)/2))/(LN(2)/2)*CG62*CJ62*VLOOKUP('Données projet'!$B$12,Paramètres!$A$1:$I$89,3,0)*0.475*44/12</f>
        <v>8.1957040032717076E-4</v>
      </c>
      <c r="CN62" s="22">
        <f t="shared" si="12"/>
        <v>7.4512996631430415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2.625</v>
      </c>
      <c r="N63" s="13">
        <f>IF('Données projet'!$A$36&gt;35,N62+M63-V62,IF(A63&lt;'Données projet'!$A$36,$K$205^A63,IF(A63='Données projet'!$A$36,'Données projet'!$B$36,N62+M63-V62)))</f>
        <v>310.75</v>
      </c>
      <c r="O63" s="13">
        <f>N63*VLOOKUP('Données projet'!$B$9,Paramètres!$A$1:$I$89,3,0)*VLOOKUP('Données projet'!$B$9,Paramètres!$A$1:$I$89,5,0)</f>
        <v>185.82849999999999</v>
      </c>
      <c r="P63" s="13">
        <f t="shared" si="33"/>
        <v>46.616505227631926</v>
      </c>
      <c r="Q63" s="20">
        <f t="shared" si="53"/>
        <v>404.84171743812561</v>
      </c>
      <c r="R63" s="59">
        <f t="shared" si="0"/>
        <v>698.17505077145893</v>
      </c>
      <c r="S63" s="59">
        <f ca="1">AVERAGE(OFFSET($R$3,0,0,'Données projet'!$E$9+1,1))-AVERAGE(OFFSET($H$3,0,0,'Données projet'!$E$9+1,1))</f>
        <v>191.77102466144095</v>
      </c>
      <c r="T63" s="59">
        <f t="shared" si="34"/>
        <v>205.57161411620217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3.4294478837101638</v>
      </c>
      <c r="AA63" s="21">
        <f>EXP(-LN(2)/25)*AA62+(1-EXP(-LN(2)/25))/(LN(2)/25)*Calculateur!V63*Calculateur!X63*VLOOKUP('Données projet'!$B$9,Paramètres!$A$1:$I$89,3,0)*0.475*44/12</f>
        <v>5.3673282451891522</v>
      </c>
      <c r="AB63" s="21">
        <f>EXP(-LN(2)/2)*AB62+(1-EXP(-LN(2)/2))/(LN(2)/2)*V63*Y63*VLOOKUP('Données projet'!$B$9,Paramètres!$A$1:$I$89,3,0)*0.475*44/12</f>
        <v>1.6618934247052499E-4</v>
      </c>
      <c r="AC63" s="22">
        <f t="shared" si="3"/>
        <v>8.7969423182417863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387</v>
      </c>
      <c r="AG63" s="12">
        <f>VLOOKUP(A63,'Données projet'!$A$61:$I$81,9,0)</f>
        <v>11.4</v>
      </c>
      <c r="AH63" s="12">
        <f t="array" ref="AH63">INDEX(AG:AG,MIN(IF(ISNUMBER(AG63:AG259),ROW(AG63:AG259),"")))</f>
        <v>11.4</v>
      </c>
      <c r="AI63" s="13">
        <f>IF('Données projet'!$A$62&gt;35,AI62+AH63-AQ62,IF(A63&lt;'Données projet'!$A$62,$AF$205^A63,IF(A63='Données projet'!$A$62,'Données projet'!$B$62,AI62+AH63-AQ62)))</f>
        <v>386.99999999999977</v>
      </c>
      <c r="AJ63" s="13">
        <f>AI63*VLOOKUP('Données projet'!$B$10,Paramètres!$A$1:$I$89,3,0)*VLOOKUP('Données projet'!$B$10,Paramètres!$A$1:$I$89,5,0)</f>
        <v>231.42599999999987</v>
      </c>
      <c r="AK63" s="13">
        <f t="shared" si="35"/>
        <v>56.590905067453171</v>
      </c>
      <c r="AL63" s="20">
        <f t="shared" si="4"/>
        <v>501.62944299248062</v>
      </c>
      <c r="AM63" s="59">
        <f t="shared" si="5"/>
        <v>794.96277632581393</v>
      </c>
      <c r="AN63" s="59">
        <f ca="1">AVERAGE(OFFSET($AM$3,0,0,'Données projet'!$E$10+1,1))-AVERAGE(OFFSET($H$3,0,0,'Données projet'!$E$10+1,1))</f>
        <v>247.30892363953825</v>
      </c>
      <c r="AO63" s="59">
        <f t="shared" si="36"/>
        <v>248.38414731596578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57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2.7589534902373414</v>
      </c>
      <c r="AV63" s="21">
        <f>EXP(-LN(2)/25)*AV62+(1-EXP(-LN(2)/25))/(LN(2)/25)*Calculateur!AQ63*Calculateur!AS63*VLOOKUP('Données projet'!$B$10,Paramètres!$A$1:$I$89,3,0)*0.475*44/12</f>
        <v>4.5095620467065087</v>
      </c>
      <c r="AW63" s="21">
        <f>EXP(-LN(2)/2)*AW62+(1-EXP(-LN(2)/2))/(LN(2)/2)*AQ63*AT63*VLOOKUP('Données projet'!$B$10,Paramètres!$A$1:$I$89,3,0)*0.475*44/12</f>
        <v>5.7952378773111588E-4</v>
      </c>
      <c r="AX63" s="21">
        <f t="shared" si="6"/>
        <v>7.2690950607315816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633</v>
      </c>
      <c r="BB63" s="12">
        <f>VLOOKUP(A63,'Données projet'!$A$87:$I$107,9,0)</f>
        <v>19</v>
      </c>
      <c r="BC63" s="12">
        <f t="array" ref="BC63">INDEX(BB:BB,MIN(IF(ISNUMBER(BB63:BB259),ROW(BB63:BB259),"")))</f>
        <v>19</v>
      </c>
      <c r="BD63" s="12">
        <f>IF('Données projet'!$A$88&gt;35,BD62+BC63-BL62,IF(A63&lt;'Données projet'!$A$88,$BA$205^A63,IF(A63='Données projet'!$A$88,'Données projet'!$B$88,BD62+BC63-BL62)))</f>
        <v>632.99999999999977</v>
      </c>
      <c r="BE63" s="13">
        <f>BD63*VLOOKUP('Données projet'!$B$11,Paramètres!$A$1:$I$89,3,0)*VLOOKUP('Données projet'!$B$11,Paramètres!$A$1:$I$89,5,0)</f>
        <v>255.09899999999993</v>
      </c>
      <c r="BF63" s="13">
        <f t="shared" si="37"/>
        <v>61.67652858562731</v>
      </c>
      <c r="BG63" s="20">
        <f t="shared" si="7"/>
        <v>551.71737895330068</v>
      </c>
      <c r="BH63" s="59">
        <f t="shared" si="8"/>
        <v>845.05071228663405</v>
      </c>
      <c r="BI63" s="59">
        <f ca="1">AVERAGE(OFFSET($BH$3,0,0,'Données projet'!$E$11+1,1))-AVERAGE(OFFSET($H$3,0,0,'Données projet'!$E$11+1,1))</f>
        <v>265.97106059040101</v>
      </c>
      <c r="BJ63" s="59">
        <f t="shared" si="38"/>
        <v>240.18718869578237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106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3.1814598942978431</v>
      </c>
      <c r="BQ63" s="21">
        <f>EXP(-LN(2)/25)*BQ62+(1-EXP(-LN(2)/25))/(LN(2)/25)*Calculateur!BL63*Calculateur!BN63*VLOOKUP('Données projet'!$B$11,Paramètres!$A$1:$I$89,3,0)*0.475*44/12</f>
        <v>4.9972699006113244</v>
      </c>
      <c r="BR63" s="21">
        <f>EXP(-LN(2)/2)*BR62+(1-EXP(-LN(2)/2))/(LN(2)/2)*BL63*BO63*VLOOKUP('Données projet'!$B$11,Paramètres!$A$1:$I$89,3,0)*0.475*44/12</f>
        <v>5.4585427683728359E-4</v>
      </c>
      <c r="BS63" s="22">
        <f t="shared" si="9"/>
        <v>8.1792756491860032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387</v>
      </c>
      <c r="BW63" s="12">
        <f>VLOOKUP(A63,'Données projet'!$A$113:$I$133,9,0)</f>
        <v>11.4</v>
      </c>
      <c r="BX63" s="12">
        <f t="array" ref="BX63">INDEX(BW:BW,MIN(IF(ISNUMBER(BW63:BW259),ROW(BW63:BW259),"")))</f>
        <v>11.4</v>
      </c>
      <c r="BY63" s="12">
        <f>IF('Données projet'!$A$114&gt;35,BY62+BX63-CG62,IF(A63&lt;'Données projet'!$A$114,$BV$205^A63,IF(A63='Données projet'!$A$114,'Données projet'!$B$114,BY62+BX63-CG62)))</f>
        <v>386.99999999999977</v>
      </c>
      <c r="BZ63" s="13">
        <f>BY63*VLOOKUP('Données projet'!$B$12,Paramètres!$A$1:$I$89,3,0)*VLOOKUP('Données projet'!$B$12,Paramètres!$A$1:$I$89,5,0)</f>
        <v>231.42599999999987</v>
      </c>
      <c r="CA63" s="13">
        <f t="shared" si="39"/>
        <v>56.590905067453171</v>
      </c>
      <c r="CB63" s="20">
        <f t="shared" si="10"/>
        <v>501.62944299248062</v>
      </c>
      <c r="CC63" s="59">
        <f t="shared" si="11"/>
        <v>794.96277632581393</v>
      </c>
      <c r="CD63" s="59">
        <f ca="1">AVERAGE(OFFSET($CC$3,0,0,'Données projet'!$E$12+1,1))-AVERAGE(OFFSET($H$3,0,0,'Données projet'!$E$12+1,1))</f>
        <v>247.30892363953825</v>
      </c>
      <c r="CE63" s="59">
        <f t="shared" si="40"/>
        <v>248.38414731596578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57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2.7589534902373414</v>
      </c>
      <c r="CL63" s="21">
        <f>EXP(-LN(2)/25)*CL62+(1-EXP(-LN(2)/25))/(LN(2)/25)*Calculateur!CG63*Calculateur!CI63*VLOOKUP('Données projet'!$B$12,Paramètres!$A$1:$I$89,3,0)*0.475*44/12</f>
        <v>4.5095620467065087</v>
      </c>
      <c r="CM63" s="21">
        <f>EXP(-LN(2)/2)*CM62+(1-EXP(-LN(2)/2))/(LN(2)/2)*CG63*CJ63*VLOOKUP('Données projet'!$B$12,Paramètres!$A$1:$I$89,3,0)*0.475*44/12</f>
        <v>5.7952378773111588E-4</v>
      </c>
      <c r="CN63" s="22">
        <f t="shared" si="12"/>
        <v>7.2690950607315816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2.625</v>
      </c>
      <c r="N64" s="13">
        <f>IF('Données projet'!$A$36&gt;35,N63+M64-V63,IF(A64&lt;'Données projet'!$A$36,$K$205^A64,IF(A64='Données projet'!$A$36,'Données projet'!$B$36,N63+M64-V63)))</f>
        <v>313.375</v>
      </c>
      <c r="O64" s="13">
        <f>N64*VLOOKUP('Données projet'!$B$9,Paramètres!$A$1:$I$89,3,0)*VLOOKUP('Données projet'!$B$9,Paramètres!$A$1:$I$89,5,0)</f>
        <v>187.39825000000002</v>
      </c>
      <c r="P64" s="13">
        <f t="shared" si="33"/>
        <v>46.964282095681376</v>
      </c>
      <c r="Q64" s="20">
        <f t="shared" si="53"/>
        <v>408.18141006664501</v>
      </c>
      <c r="R64" s="59">
        <f t="shared" si="0"/>
        <v>701.51474339997833</v>
      </c>
      <c r="S64" s="59">
        <f ca="1">AVERAGE(OFFSET($R$3,0,0,'Données projet'!$E$9+1,1))-AVERAGE(OFFSET($H$3,0,0,'Données projet'!$E$9+1,1))</f>
        <v>191.77102466144095</v>
      </c>
      <c r="T64" s="59">
        <f t="shared" si="34"/>
        <v>205.57161411620217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3.3621985024672729</v>
      </c>
      <c r="AA64" s="21">
        <f>EXP(-LN(2)/25)*AA63+(1-EXP(-LN(2)/25))/(LN(2)/25)*Calculateur!V64*Calculateur!X64*VLOOKUP('Données projet'!$B$9,Paramètres!$A$1:$I$89,3,0)*0.475*44/12</f>
        <v>5.2205583720689299</v>
      </c>
      <c r="AB64" s="21">
        <f>EXP(-LN(2)/2)*AB63+(1-EXP(-LN(2)/2))/(LN(2)/2)*V64*Y64*VLOOKUP('Données projet'!$B$9,Paramètres!$A$1:$I$89,3,0)*0.475*44/12</f>
        <v>1.1751361102184174E-4</v>
      </c>
      <c r="AC64" s="22">
        <f t="shared" si="3"/>
        <v>8.5828743881472249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9.1999999999999993</v>
      </c>
      <c r="AI64" s="13">
        <f>IF('Données projet'!$A$62&gt;35,AI63+AH64-AQ63,IF(A64&lt;'Données projet'!$A$62,$AF$205^A64,IF(A64='Données projet'!$A$62,'Données projet'!$B$62,AI63+AH64-AQ63)))</f>
        <v>339.19999999999976</v>
      </c>
      <c r="AJ64" s="13">
        <f>AI64*VLOOKUP('Données projet'!$B$10,Paramètres!$A$1:$I$89,3,0)*VLOOKUP('Données projet'!$B$10,Paramètres!$A$1:$I$89,5,0)</f>
        <v>202.84159999999989</v>
      </c>
      <c r="AK64" s="13">
        <f t="shared" si="35"/>
        <v>50.368151708087709</v>
      </c>
      <c r="AL64" s="20">
        <f t="shared" si="4"/>
        <v>441.00698422491922</v>
      </c>
      <c r="AM64" s="59">
        <f t="shared" si="5"/>
        <v>734.34031755825254</v>
      </c>
      <c r="AN64" s="59">
        <f ca="1">AVERAGE(OFFSET($AM$3,0,0,'Données projet'!$E$10+1,1))-AVERAGE(OFFSET($H$3,0,0,'Données projet'!$E$10+1,1))</f>
        <v>247.30892363953825</v>
      </c>
      <c r="AO64" s="59">
        <f t="shared" si="36"/>
        <v>248.38414731596578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2.7048520950892541</v>
      </c>
      <c r="AV64" s="21">
        <f>EXP(-LN(2)/25)*AV63+(1-EXP(-LN(2)/25))/(LN(2)/25)*Calculateur!AQ64*Calculateur!AS64*VLOOKUP('Données projet'!$B$10,Paramètres!$A$1:$I$89,3,0)*0.475*44/12</f>
        <v>4.3862478353917576</v>
      </c>
      <c r="AW64" s="21">
        <f>EXP(-LN(2)/2)*AW63+(1-EXP(-LN(2)/2))/(LN(2)/2)*AQ64*AT64*VLOOKUP('Données projet'!$B$10,Paramètres!$A$1:$I$89,3,0)*0.475*44/12</f>
        <v>4.0978520016358538E-4</v>
      </c>
      <c r="AX64" s="21">
        <f t="shared" si="6"/>
        <v>7.0915097156811751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16.399999999999999</v>
      </c>
      <c r="BD64" s="12">
        <f>IF('Données projet'!$A$88&gt;35,BD63+BC64-BL63,IF(A64&lt;'Données projet'!$A$88,$BA$205^A64,IF(A64='Données projet'!$A$88,'Données projet'!$B$88,BD63+BC64-BL63)))</f>
        <v>543.39999999999975</v>
      </c>
      <c r="BE64" s="13">
        <f>BD64*VLOOKUP('Données projet'!$B$11,Paramètres!$A$1:$I$89,3,0)*VLOOKUP('Données projet'!$B$11,Paramètres!$A$1:$I$89,5,0)</f>
        <v>218.9901999999999</v>
      </c>
      <c r="BF64" s="13">
        <f t="shared" si="37"/>
        <v>53.895351949308676</v>
      </c>
      <c r="BG64" s="20">
        <f t="shared" si="7"/>
        <v>475.27566964504581</v>
      </c>
      <c r="BH64" s="59">
        <f t="shared" si="8"/>
        <v>768.60900297837907</v>
      </c>
      <c r="BI64" s="59">
        <f ca="1">AVERAGE(OFFSET($BH$3,0,0,'Données projet'!$E$11+1,1))-AVERAGE(OFFSET($H$3,0,0,'Données projet'!$E$11+1,1))</f>
        <v>265.97106059040101</v>
      </c>
      <c r="BJ64" s="59">
        <f t="shared" si="38"/>
        <v>240.18718869578237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3.1190734062695897</v>
      </c>
      <c r="BQ64" s="21">
        <f>EXP(-LN(2)/25)*BQ63+(1-EXP(-LN(2)/25))/(LN(2)/25)*Calculateur!BL64*Calculateur!BN64*VLOOKUP('Données projet'!$B$11,Paramètres!$A$1:$I$89,3,0)*0.475*44/12</f>
        <v>4.8606192923841052</v>
      </c>
      <c r="BR64" s="21">
        <f>EXP(-LN(2)/2)*BR63+(1-EXP(-LN(2)/2))/(LN(2)/2)*BL64*BO64*VLOOKUP('Données projet'!$B$11,Paramètres!$A$1:$I$89,3,0)*0.475*44/12</f>
        <v>3.8597726069132223E-4</v>
      </c>
      <c r="BS64" s="22">
        <f t="shared" si="9"/>
        <v>7.9800786759143865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9.1999999999999993</v>
      </c>
      <c r="BY64" s="12">
        <f>IF('Données projet'!$A$114&gt;35,BY63+BX64-CG63,IF(A64&lt;'Données projet'!$A$114,$BV$205^A64,IF(A64='Données projet'!$A$114,'Données projet'!$B$114,BY63+BX64-CG63)))</f>
        <v>339.19999999999976</v>
      </c>
      <c r="BZ64" s="13">
        <f>BY64*VLOOKUP('Données projet'!$B$12,Paramètres!$A$1:$I$89,3,0)*VLOOKUP('Données projet'!$B$12,Paramètres!$A$1:$I$89,5,0)</f>
        <v>202.84159999999989</v>
      </c>
      <c r="CA64" s="13">
        <f t="shared" si="39"/>
        <v>50.368151708087709</v>
      </c>
      <c r="CB64" s="20">
        <f t="shared" si="10"/>
        <v>441.00698422491922</v>
      </c>
      <c r="CC64" s="59">
        <f t="shared" si="11"/>
        <v>734.34031755825254</v>
      </c>
      <c r="CD64" s="59">
        <f ca="1">AVERAGE(OFFSET($CC$3,0,0,'Données projet'!$E$12+1,1))-AVERAGE(OFFSET($H$3,0,0,'Données projet'!$E$12+1,1))</f>
        <v>247.30892363953825</v>
      </c>
      <c r="CE64" s="59">
        <f t="shared" si="40"/>
        <v>248.38414731596578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2.7048520950892541</v>
      </c>
      <c r="CL64" s="21">
        <f>EXP(-LN(2)/25)*CL63+(1-EXP(-LN(2)/25))/(LN(2)/25)*Calculateur!CG64*Calculateur!CI64*VLOOKUP('Données projet'!$B$12,Paramètres!$A$1:$I$89,3,0)*0.475*44/12</f>
        <v>4.3862478353917576</v>
      </c>
      <c r="CM64" s="21">
        <f>EXP(-LN(2)/2)*CM63+(1-EXP(-LN(2)/2))/(LN(2)/2)*CG64*CJ64*VLOOKUP('Données projet'!$B$12,Paramètres!$A$1:$I$89,3,0)*0.475*44/12</f>
        <v>4.0978520016358538E-4</v>
      </c>
      <c r="CN64" s="22">
        <f t="shared" si="12"/>
        <v>7.0915097156811751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316</v>
      </c>
      <c r="L65" s="12">
        <f>VLOOKUP(A65,'Données projet'!$A$35:$I$55,9,0)</f>
        <v>2.625</v>
      </c>
      <c r="M65" s="12">
        <f t="array" ref="M65">INDEX(L:L,MIN(IF(ISNUMBER(L65:L261),ROW(L65:L261),"")))</f>
        <v>2.625</v>
      </c>
      <c r="N65" s="13">
        <f>IF('Données projet'!$A$36&gt;35,N64+M65-V64,IF(A65&lt;'Données projet'!$A$36,$K$205^A65,IF(A65='Données projet'!$A$36,'Données projet'!$B$36,N64+M65-V64)))</f>
        <v>316</v>
      </c>
      <c r="O65" s="13">
        <f>N65*VLOOKUP('Données projet'!$B$9,Paramètres!$A$1:$I$89,3,0)*VLOOKUP('Données projet'!$B$9,Paramètres!$A$1:$I$89,5,0)</f>
        <v>188.96800000000002</v>
      </c>
      <c r="P65" s="13">
        <f t="shared" si="33"/>
        <v>47.311720031947068</v>
      </c>
      <c r="Q65" s="20">
        <f t="shared" si="53"/>
        <v>411.52051238897451</v>
      </c>
      <c r="R65" s="59">
        <f t="shared" si="0"/>
        <v>704.85384572230782</v>
      </c>
      <c r="S65" s="59">
        <f ca="1">AVERAGE(OFFSET($R$3,0,0,'Données projet'!$E$9+1,1))-AVERAGE(OFFSET($H$3,0,0,'Données projet'!$E$9+1,1))</f>
        <v>191.77102466144095</v>
      </c>
      <c r="T65" s="59">
        <f t="shared" si="34"/>
        <v>205.57161411620217</v>
      </c>
      <c r="U65" s="15">
        <f>IF(ISNA(VLOOKUP(A65,'Données projet'!$A$35:$I$55,3,0)),0,VLOOKUP(A65,'Données projet'!$A$35:$I$55,3,0))</f>
        <v>9</v>
      </c>
      <c r="V65" s="15">
        <f>IF(ISNA(VLOOKUP(A65,'Données projet'!$A$35:$I$55,4,0)),0,VLOOKUP(A65,'Données projet'!$A$35:$I$55,4,0))</f>
        <v>316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3.2962678405724826</v>
      </c>
      <c r="AA65" s="21">
        <f>EXP(-LN(2)/25)*AA64+(1-EXP(-LN(2)/25))/(LN(2)/25)*Calculateur!V65*Calculateur!X65*VLOOKUP('Données projet'!$B$9,Paramètres!$A$1:$I$89,3,0)*0.475*44/12</f>
        <v>5.0778019288474718</v>
      </c>
      <c r="AB65" s="21">
        <f>EXP(-LN(2)/2)*AB64+(1-EXP(-LN(2)/2))/(LN(2)/2)*V65*Y65*VLOOKUP('Données projet'!$B$9,Paramètres!$A$1:$I$89,3,0)*0.475*44/12</f>
        <v>8.309467123526251E-5</v>
      </c>
      <c r="AC65" s="22">
        <f t="shared" si="3"/>
        <v>8.3741528640911884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9.1999999999999993</v>
      </c>
      <c r="AI65" s="13">
        <f>IF('Données projet'!$A$62&gt;35,AI64+AH65-AQ64,IF(A65&lt;'Données projet'!$A$62,$AF$205^A65,IF(A65='Données projet'!$A$62,'Données projet'!$B$62,AI64+AH65-AQ64)))</f>
        <v>348.39999999999975</v>
      </c>
      <c r="AJ65" s="13">
        <f>AI65*VLOOKUP('Données projet'!$B$10,Paramètres!$A$1:$I$89,3,0)*VLOOKUP('Données projet'!$B$10,Paramètres!$A$1:$I$89,5,0)</f>
        <v>208.34319999999988</v>
      </c>
      <c r="AK65" s="13">
        <f t="shared" si="35"/>
        <v>51.573366479945882</v>
      </c>
      <c r="AL65" s="20">
        <f t="shared" si="4"/>
        <v>452.68801995257218</v>
      </c>
      <c r="AM65" s="59">
        <f t="shared" si="5"/>
        <v>746.02135328590543</v>
      </c>
      <c r="AN65" s="59">
        <f ca="1">AVERAGE(OFFSET($AM$3,0,0,'Données projet'!$E$10+1,1))-AVERAGE(OFFSET($H$3,0,0,'Données projet'!$E$10+1,1))</f>
        <v>247.30892363953825</v>
      </c>
      <c r="AO65" s="59">
        <f t="shared" si="36"/>
        <v>248.38414731596578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2.6518115953014281</v>
      </c>
      <c r="AV65" s="21">
        <f>EXP(-LN(2)/25)*AV64+(1-EXP(-LN(2)/25))/(LN(2)/25)*Calculateur!AQ65*Calculateur!AS65*VLOOKUP('Données projet'!$B$10,Paramètres!$A$1:$I$89,3,0)*0.475*44/12</f>
        <v>4.2663056576702214</v>
      </c>
      <c r="AW65" s="21">
        <f>EXP(-LN(2)/2)*AW64+(1-EXP(-LN(2)/2))/(LN(2)/2)*AQ65*AT65*VLOOKUP('Données projet'!$B$10,Paramètres!$A$1:$I$89,3,0)*0.475*44/12</f>
        <v>2.8976189386555794E-4</v>
      </c>
      <c r="AX65" s="21">
        <f t="shared" si="6"/>
        <v>6.9184070148655152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16.399999999999999</v>
      </c>
      <c r="BD65" s="12">
        <f>IF('Données projet'!$A$88&gt;35,BD64+BC65-BL64,IF(A65&lt;'Données projet'!$A$88,$BA$205^A65,IF(A65='Données projet'!$A$88,'Données projet'!$B$88,BD64+BC65-BL64)))</f>
        <v>559.79999999999973</v>
      </c>
      <c r="BE65" s="13">
        <f>BD65*VLOOKUP('Données projet'!$B$11,Paramètres!$A$1:$I$89,3,0)*VLOOKUP('Données projet'!$B$11,Paramètres!$A$1:$I$89,5,0)</f>
        <v>225.59939999999992</v>
      </c>
      <c r="BF65" s="13">
        <f t="shared" si="37"/>
        <v>55.330101753431904</v>
      </c>
      <c r="BG65" s="20">
        <f t="shared" si="7"/>
        <v>489.28554888722715</v>
      </c>
      <c r="BH65" s="59">
        <f t="shared" si="8"/>
        <v>782.61888222056041</v>
      </c>
      <c r="BI65" s="59">
        <f ca="1">AVERAGE(OFFSET($BH$3,0,0,'Données projet'!$E$11+1,1))-AVERAGE(OFFSET($H$3,0,0,'Données projet'!$E$11+1,1))</f>
        <v>265.97106059040101</v>
      </c>
      <c r="BJ65" s="59">
        <f t="shared" si="38"/>
        <v>240.18718869578237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3.0579102792195698</v>
      </c>
      <c r="BQ65" s="21">
        <f>EXP(-LN(2)/25)*BQ64+(1-EXP(-LN(2)/25))/(LN(2)/25)*Calculateur!BL65*Calculateur!BN65*VLOOKUP('Données projet'!$B$11,Paramètres!$A$1:$I$89,3,0)*0.475*44/12</f>
        <v>4.727705402225002</v>
      </c>
      <c r="BR65" s="21">
        <f>EXP(-LN(2)/2)*BR64+(1-EXP(-LN(2)/2))/(LN(2)/2)*BL65*BO65*VLOOKUP('Données projet'!$B$11,Paramètres!$A$1:$I$89,3,0)*0.475*44/12</f>
        <v>2.7292713841864179E-4</v>
      </c>
      <c r="BS65" s="22">
        <f t="shared" si="9"/>
        <v>7.7858886085829901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9.1999999999999993</v>
      </c>
      <c r="BY65" s="12">
        <f>IF('Données projet'!$A$114&gt;35,BY64+BX65-CG64,IF(A65&lt;'Données projet'!$A$114,$BV$205^A65,IF(A65='Données projet'!$A$114,'Données projet'!$B$114,BY64+BX65-CG64)))</f>
        <v>348.39999999999975</v>
      </c>
      <c r="BZ65" s="13">
        <f>BY65*VLOOKUP('Données projet'!$B$12,Paramètres!$A$1:$I$89,3,0)*VLOOKUP('Données projet'!$B$12,Paramètres!$A$1:$I$89,5,0)</f>
        <v>208.34319999999988</v>
      </c>
      <c r="CA65" s="13">
        <f t="shared" si="39"/>
        <v>51.573366479945882</v>
      </c>
      <c r="CB65" s="20">
        <f t="shared" si="10"/>
        <v>452.68801995257218</v>
      </c>
      <c r="CC65" s="59">
        <f t="shared" si="11"/>
        <v>746.02135328590543</v>
      </c>
      <c r="CD65" s="59">
        <f ca="1">AVERAGE(OFFSET($CC$3,0,0,'Données projet'!$E$12+1,1))-AVERAGE(OFFSET($H$3,0,0,'Données projet'!$E$12+1,1))</f>
        <v>247.30892363953825</v>
      </c>
      <c r="CE65" s="59">
        <f t="shared" si="40"/>
        <v>248.38414731596578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2.6518115953014281</v>
      </c>
      <c r="CL65" s="21">
        <f>EXP(-LN(2)/25)*CL64+(1-EXP(-LN(2)/25))/(LN(2)/25)*Calculateur!CG65*Calculateur!CI65*VLOOKUP('Données projet'!$B$12,Paramètres!$A$1:$I$89,3,0)*0.475*44/12</f>
        <v>4.2663056576702214</v>
      </c>
      <c r="CM65" s="21">
        <f>EXP(-LN(2)/2)*CM64+(1-EXP(-LN(2)/2))/(LN(2)/2)*CG65*CJ65*VLOOKUP('Données projet'!$B$12,Paramètres!$A$1:$I$89,3,0)*0.475*44/12</f>
        <v>2.8976189386555794E-4</v>
      </c>
      <c r="CN65" s="22">
        <f t="shared" si="12"/>
        <v>6.9184070148655152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191.77102466144095</v>
      </c>
      <c r="T66" s="59">
        <f t="shared" si="34"/>
        <v>205.57161411620217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3.2316300387437162</v>
      </c>
      <c r="AA66" s="21">
        <f>EXP(-LN(2)/25)*AA65+(1-EXP(-LN(2)/25))/(LN(2)/25)*Calculateur!V66*Calculateur!X66*VLOOKUP('Données projet'!$B$9,Paramètres!$A$1:$I$89,3,0)*0.475*44/12</f>
        <v>4.9389491680731394</v>
      </c>
      <c r="AB66" s="21">
        <f>EXP(-LN(2)/2)*AB65+(1-EXP(-LN(2)/2))/(LN(2)/2)*V66*Y66*VLOOKUP('Données projet'!$B$9,Paramètres!$A$1:$I$89,3,0)*0.475*44/12</f>
        <v>5.8756805510920875E-5</v>
      </c>
      <c r="AC66" s="22">
        <f t="shared" si="3"/>
        <v>8.1706379636223669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9.1999999999999993</v>
      </c>
      <c r="AI66" s="13">
        <f>IF('Données projet'!$A$62&gt;35,AI65+AH66-AQ65,IF(A66&lt;'Données projet'!$A$62,$AF$205^A66,IF(A66='Données projet'!$A$62,'Données projet'!$B$62,AI65+AH66-AQ65)))</f>
        <v>357.59999999999974</v>
      </c>
      <c r="AJ66" s="13">
        <f>AI66*VLOOKUP('Données projet'!$B$10,Paramètres!$A$1:$I$89,3,0)*VLOOKUP('Données projet'!$B$10,Paramètres!$A$1:$I$89,5,0)</f>
        <v>213.84479999999988</v>
      </c>
      <c r="AK66" s="13">
        <f t="shared" si="35"/>
        <v>52.774882006161135</v>
      </c>
      <c r="AL66" s="20">
        <f t="shared" si="4"/>
        <v>464.36261282739719</v>
      </c>
      <c r="AM66" s="59">
        <f t="shared" si="5"/>
        <v>757.6959461607305</v>
      </c>
      <c r="AN66" s="59">
        <f ca="1">AVERAGE(OFFSET($AM$3,0,0,'Données projet'!$E$10+1,1))-AVERAGE(OFFSET($H$3,0,0,'Données projet'!$E$10+1,1))</f>
        <v>247.30892363953825</v>
      </c>
      <c r="AO66" s="59">
        <f t="shared" si="36"/>
        <v>248.38414731596578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2.5998111873629308</v>
      </c>
      <c r="AV66" s="21">
        <f>EXP(-LN(2)/25)*AV65+(1-EXP(-LN(2)/25))/(LN(2)/25)*Calculateur!AQ66*Calculateur!AS66*VLOOKUP('Données projet'!$B$10,Paramètres!$A$1:$I$89,3,0)*0.475*44/12</f>
        <v>4.1496433051059656</v>
      </c>
      <c r="AW66" s="21">
        <f>EXP(-LN(2)/2)*AW65+(1-EXP(-LN(2)/2))/(LN(2)/2)*AQ66*AT66*VLOOKUP('Données projet'!$B$10,Paramètres!$A$1:$I$89,3,0)*0.475*44/12</f>
        <v>2.0489260008179269E-4</v>
      </c>
      <c r="AX66" s="21">
        <f t="shared" si="6"/>
        <v>6.7496593850689779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16.399999999999999</v>
      </c>
      <c r="BD66" s="12">
        <f>IF('Données projet'!$A$88&gt;35,BD65+BC66-BL65,IF(A66&lt;'Données projet'!$A$88,$BA$205^A66,IF(A66='Données projet'!$A$88,'Données projet'!$B$88,BD65+BC66-BL65)))</f>
        <v>576.1999999999997</v>
      </c>
      <c r="BE66" s="13">
        <f>BD66*VLOOKUP('Données projet'!$B$11,Paramètres!$A$1:$I$89,3,0)*VLOOKUP('Données projet'!$B$11,Paramètres!$A$1:$I$89,5,0)</f>
        <v>232.20859999999988</v>
      </c>
      <c r="BF66" s="13">
        <f t="shared" si="37"/>
        <v>56.759966547343083</v>
      </c>
      <c r="BG66" s="20">
        <f t="shared" si="7"/>
        <v>503.28692006995567</v>
      </c>
      <c r="BH66" s="59">
        <f t="shared" si="8"/>
        <v>796.62025340328898</v>
      </c>
      <c r="BI66" s="59">
        <f ca="1">AVERAGE(OFFSET($BH$3,0,0,'Données projet'!$E$11+1,1))-AVERAGE(OFFSET($H$3,0,0,'Données projet'!$E$11+1,1))</f>
        <v>265.97106059040101</v>
      </c>
      <c r="BJ66" s="59">
        <f t="shared" si="38"/>
        <v>240.18718869578237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2.9979465237851768</v>
      </c>
      <c r="BQ66" s="21">
        <f>EXP(-LN(2)/25)*BQ65+(1-EXP(-LN(2)/25))/(LN(2)/25)*Calculateur!BL66*Calculateur!BN66*VLOOKUP('Données projet'!$B$11,Paramètres!$A$1:$I$89,3,0)*0.475*44/12</f>
        <v>4.5984260493819376</v>
      </c>
      <c r="BR66" s="21">
        <f>EXP(-LN(2)/2)*BR65+(1-EXP(-LN(2)/2))/(LN(2)/2)*BL66*BO66*VLOOKUP('Données projet'!$B$11,Paramètres!$A$1:$I$89,3,0)*0.475*44/12</f>
        <v>1.9298863034566111E-4</v>
      </c>
      <c r="BS66" s="22">
        <f t="shared" si="9"/>
        <v>7.5965655617974601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9.1999999999999993</v>
      </c>
      <c r="BY66" s="12">
        <f>IF('Données projet'!$A$114&gt;35,BY65+BX66-CG65,IF(A66&lt;'Données projet'!$A$114,$BV$205^A66,IF(A66='Données projet'!$A$114,'Données projet'!$B$114,BY65+BX66-CG65)))</f>
        <v>357.59999999999974</v>
      </c>
      <c r="BZ66" s="13">
        <f>BY66*VLOOKUP('Données projet'!$B$12,Paramètres!$A$1:$I$89,3,0)*VLOOKUP('Données projet'!$B$12,Paramètres!$A$1:$I$89,5,0)</f>
        <v>213.84479999999988</v>
      </c>
      <c r="CA66" s="13">
        <f t="shared" si="39"/>
        <v>52.774882006161135</v>
      </c>
      <c r="CB66" s="20">
        <f t="shared" si="10"/>
        <v>464.36261282739719</v>
      </c>
      <c r="CC66" s="59">
        <f t="shared" si="11"/>
        <v>757.6959461607305</v>
      </c>
      <c r="CD66" s="59">
        <f ca="1">AVERAGE(OFFSET($CC$3,0,0,'Données projet'!$E$12+1,1))-AVERAGE(OFFSET($H$3,0,0,'Données projet'!$E$12+1,1))</f>
        <v>247.30892363953825</v>
      </c>
      <c r="CE66" s="59">
        <f t="shared" si="40"/>
        <v>248.38414731596578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2.5998111873629308</v>
      </c>
      <c r="CL66" s="21">
        <f>EXP(-LN(2)/25)*CL65+(1-EXP(-LN(2)/25))/(LN(2)/25)*Calculateur!CG66*Calculateur!CI66*VLOOKUP('Données projet'!$B$12,Paramètres!$A$1:$I$89,3,0)*0.475*44/12</f>
        <v>4.1496433051059656</v>
      </c>
      <c r="CM66" s="21">
        <f>EXP(-LN(2)/2)*CM65+(1-EXP(-LN(2)/2))/(LN(2)/2)*CG66*CJ66*VLOOKUP('Données projet'!$B$12,Paramètres!$A$1:$I$89,3,0)*0.475*44/12</f>
        <v>2.0489260008179269E-4</v>
      </c>
      <c r="CN66" s="22">
        <f t="shared" si="12"/>
        <v>6.7496593850689779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191.77102466144095</v>
      </c>
      <c r="T67" s="59">
        <f t="shared" si="34"/>
        <v>205.57161411620217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3.1682597447836458</v>
      </c>
      <c r="AA67" s="21">
        <f>EXP(-LN(2)/25)*AA66+(1-EXP(-LN(2)/25))/(LN(2)/25)*Calculateur!V67*Calculateur!X67*VLOOKUP('Données projet'!$B$9,Paramètres!$A$1:$I$89,3,0)*0.475*44/12</f>
        <v>4.8038933433441304</v>
      </c>
      <c r="AB67" s="21">
        <f>EXP(-LN(2)/2)*AB66+(1-EXP(-LN(2)/2))/(LN(2)/2)*V67*Y67*VLOOKUP('Données projet'!$B$9,Paramètres!$A$1:$I$89,3,0)*0.475*44/12</f>
        <v>4.1547335617631262E-5</v>
      </c>
      <c r="AC67" s="22">
        <f t="shared" si="3"/>
        <v>7.972194635463393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9.1999999999999993</v>
      </c>
      <c r="AI67" s="13">
        <f>IF('Données projet'!$A$62&gt;35,AI66+AH67-AQ66,IF(A67&lt;'Données projet'!$A$62,$AF$205^A67,IF(A67='Données projet'!$A$62,'Données projet'!$B$62,AI66+AH67-AQ66)))</f>
        <v>366.79999999999973</v>
      </c>
      <c r="AJ67" s="13">
        <f>AI67*VLOOKUP('Données projet'!$B$10,Paramètres!$A$1:$I$89,3,0)*VLOOKUP('Données projet'!$B$10,Paramètres!$A$1:$I$89,5,0)</f>
        <v>219.34639999999987</v>
      </c>
      <c r="AK67" s="13">
        <f t="shared" si="35"/>
        <v>53.972804400117923</v>
      </c>
      <c r="AL67" s="20">
        <f t="shared" si="4"/>
        <v>476.03094766353843</v>
      </c>
      <c r="AM67" s="59">
        <f t="shared" si="5"/>
        <v>769.36428099687168</v>
      </c>
      <c r="AN67" s="59">
        <f ca="1">AVERAGE(OFFSET($AM$3,0,0,'Données projet'!$E$10+1,1))-AVERAGE(OFFSET($H$3,0,0,'Données projet'!$E$10+1,1))</f>
        <v>247.30892363953825</v>
      </c>
      <c r="AO67" s="59">
        <f t="shared" si="36"/>
        <v>248.38414731596578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2.5488304757069904</v>
      </c>
      <c r="AV67" s="21">
        <f>EXP(-LN(2)/25)*AV66+(1-EXP(-LN(2)/25))/(LN(2)/25)*Calculateur!AQ67*Calculateur!AS67*VLOOKUP('Données projet'!$B$10,Paramètres!$A$1:$I$89,3,0)*0.475*44/12</f>
        <v>4.0361710907075858</v>
      </c>
      <c r="AW67" s="21">
        <f>EXP(-LN(2)/2)*AW66+(1-EXP(-LN(2)/2))/(LN(2)/2)*AQ67*AT67*VLOOKUP('Données projet'!$B$10,Paramètres!$A$1:$I$89,3,0)*0.475*44/12</f>
        <v>1.4488094693277897E-4</v>
      </c>
      <c r="AX67" s="21">
        <f t="shared" si="6"/>
        <v>6.5851464473615087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16.399999999999999</v>
      </c>
      <c r="BD67" s="12">
        <f>IF('Données projet'!$A$88&gt;35,BD66+BC67-BL66,IF(A67&lt;'Données projet'!$A$88,$BA$205^A67,IF(A67='Données projet'!$A$88,'Données projet'!$B$88,BD66+BC67-BL66)))</f>
        <v>592.59999999999968</v>
      </c>
      <c r="BE67" s="13">
        <f>BD67*VLOOKUP('Données projet'!$B$11,Paramètres!$A$1:$I$89,3,0)*VLOOKUP('Données projet'!$B$11,Paramètres!$A$1:$I$89,5,0)</f>
        <v>238.81779999999989</v>
      </c>
      <c r="BF67" s="13">
        <f t="shared" si="37"/>
        <v>58.185101339544907</v>
      </c>
      <c r="BG67" s="20">
        <f t="shared" si="7"/>
        <v>517.28005316637382</v>
      </c>
      <c r="BH67" s="59">
        <f t="shared" si="8"/>
        <v>810.61338649970708</v>
      </c>
      <c r="BI67" s="59">
        <f ca="1">AVERAGE(OFFSET($BH$3,0,0,'Données projet'!$E$11+1,1))-AVERAGE(OFFSET($H$3,0,0,'Données projet'!$E$11+1,1))</f>
        <v>265.97106059040101</v>
      </c>
      <c r="BJ67" s="59">
        <f t="shared" si="38"/>
        <v>240.18718869578237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2.9391586210205731</v>
      </c>
      <c r="BQ67" s="21">
        <f>EXP(-LN(2)/25)*BQ66+(1-EXP(-LN(2)/25))/(LN(2)/25)*Calculateur!BL67*Calculateur!BN67*VLOOKUP('Données projet'!$B$11,Paramètres!$A$1:$I$89,3,0)*0.475*44/12</f>
        <v>4.4726818472408727</v>
      </c>
      <c r="BR67" s="21">
        <f>EXP(-LN(2)/2)*BR66+(1-EXP(-LN(2)/2))/(LN(2)/2)*BL67*BO67*VLOOKUP('Données projet'!$B$11,Paramètres!$A$1:$I$89,3,0)*0.475*44/12</f>
        <v>1.364635692093209E-4</v>
      </c>
      <c r="BS67" s="22">
        <f t="shared" si="9"/>
        <v>7.4119769318306545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9.1999999999999993</v>
      </c>
      <c r="BY67" s="12">
        <f>IF('Données projet'!$A$114&gt;35,BY66+BX67-CG66,IF(A67&lt;'Données projet'!$A$114,$BV$205^A67,IF(A67='Données projet'!$A$114,'Données projet'!$B$114,BY66+BX67-CG66)))</f>
        <v>366.79999999999973</v>
      </c>
      <c r="BZ67" s="13">
        <f>BY67*VLOOKUP('Données projet'!$B$12,Paramètres!$A$1:$I$89,3,0)*VLOOKUP('Données projet'!$B$12,Paramètres!$A$1:$I$89,5,0)</f>
        <v>219.34639999999987</v>
      </c>
      <c r="CA67" s="13">
        <f t="shared" si="39"/>
        <v>53.972804400117923</v>
      </c>
      <c r="CB67" s="20">
        <f t="shared" si="10"/>
        <v>476.03094766353843</v>
      </c>
      <c r="CC67" s="59">
        <f t="shared" si="11"/>
        <v>769.36428099687168</v>
      </c>
      <c r="CD67" s="59">
        <f ca="1">AVERAGE(OFFSET($CC$3,0,0,'Données projet'!$E$12+1,1))-AVERAGE(OFFSET($H$3,0,0,'Données projet'!$E$12+1,1))</f>
        <v>247.30892363953825</v>
      </c>
      <c r="CE67" s="59">
        <f t="shared" si="40"/>
        <v>248.38414731596578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2.5488304757069904</v>
      </c>
      <c r="CL67" s="21">
        <f>EXP(-LN(2)/25)*CL66+(1-EXP(-LN(2)/25))/(LN(2)/25)*Calculateur!CG67*Calculateur!CI67*VLOOKUP('Données projet'!$B$12,Paramètres!$A$1:$I$89,3,0)*0.475*44/12</f>
        <v>4.0361710907075858</v>
      </c>
      <c r="CM67" s="21">
        <f>EXP(-LN(2)/2)*CM66+(1-EXP(-LN(2)/2))/(LN(2)/2)*CG67*CJ67*VLOOKUP('Données projet'!$B$12,Paramètres!$A$1:$I$89,3,0)*0.475*44/12</f>
        <v>1.4488094693277897E-4</v>
      </c>
      <c r="CN67" s="22">
        <f t="shared" si="12"/>
        <v>6.5851464473615087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191.77102466144095</v>
      </c>
      <c r="T68" s="59">
        <f t="shared" si="34"/>
        <v>205.57161411620217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3.1061321036360696</v>
      </c>
      <c r="AA68" s="21">
        <f>EXP(-LN(2)/25)*AA67+(1-EXP(-LN(2)/25))/(LN(2)/25)*Calculateur!V68*Calculateur!X68*VLOOKUP('Données projet'!$B$9,Paramètres!$A$1:$I$89,3,0)*0.475*44/12</f>
        <v>4.6725306272446137</v>
      </c>
      <c r="AB68" s="21">
        <f>EXP(-LN(2)/2)*AB67+(1-EXP(-LN(2)/2))/(LN(2)/2)*V68*Y68*VLOOKUP('Données projet'!$B$9,Paramètres!$A$1:$I$89,3,0)*0.475*44/12</f>
        <v>2.9378402755460444E-5</v>
      </c>
      <c r="AC68" s="22">
        <f t="shared" ref="AC68:AC131" si="57">SUM(Z68:AB68)</f>
        <v>7.7786921092834387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9.1999999999999993</v>
      </c>
      <c r="AI68" s="13">
        <f>IF('Données projet'!$A$62&gt;35,AI67+AH68-AQ67,IF(A68&lt;'Données projet'!$A$62,$AF$205^A68,IF(A68='Données projet'!$A$62,'Données projet'!$B$62,AI67+AH68-AQ67)))</f>
        <v>375.99999999999972</v>
      </c>
      <c r="AJ68" s="13">
        <f>AI68*VLOOKUP('Données projet'!$B$10,Paramètres!$A$1:$I$89,3,0)*VLOOKUP('Données projet'!$B$10,Paramètres!$A$1:$I$89,5,0)</f>
        <v>224.84799999999984</v>
      </c>
      <c r="AK68" s="13">
        <f t="shared" si="35"/>
        <v>55.167234148809698</v>
      </c>
      <c r="AL68" s="20">
        <f t="shared" ref="AL68:AL131" si="58">(AJ68+AK68)*0.475*44/12</f>
        <v>487.69319947584319</v>
      </c>
      <c r="AM68" s="59">
        <f t="shared" ref="AM68:AM131" si="59">AL68+(AD68+AE68)*44/12</f>
        <v>781.0265328091765</v>
      </c>
      <c r="AN68" s="59">
        <f ca="1">AVERAGE(OFFSET($AM$3,0,0,'Données projet'!$E$10+1,1))-AVERAGE(OFFSET($H$3,0,0,'Données projet'!$E$10+1,1))</f>
        <v>247.30892363953825</v>
      </c>
      <c r="AO68" s="59">
        <f t="shared" si="36"/>
        <v>248.38414731596578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2.4988494647114594</v>
      </c>
      <c r="AV68" s="21">
        <f>EXP(-LN(2)/25)*AV67+(1-EXP(-LN(2)/25))/(LN(2)/25)*Calculateur!AQ68*Calculateur!AS68*VLOOKUP('Données projet'!$B$10,Paramètres!$A$1:$I$89,3,0)*0.475*44/12</f>
        <v>3.925801779979174</v>
      </c>
      <c r="AW68" s="21">
        <f>EXP(-LN(2)/2)*AW67+(1-EXP(-LN(2)/2))/(LN(2)/2)*AQ68*AT68*VLOOKUP('Données projet'!$B$10,Paramètres!$A$1:$I$89,3,0)*0.475*44/12</f>
        <v>1.0244630004089635E-4</v>
      </c>
      <c r="AX68" s="21">
        <f t="shared" ref="AX68:AX131" si="60">SUM(AU68:AW68)</f>
        <v>6.4247536909906735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16.399999999999999</v>
      </c>
      <c r="BD68" s="12">
        <f>IF('Données projet'!$A$88&gt;35,BD67+BC68-BL67,IF(A68&lt;'Données projet'!$A$88,$BA$205^A68,IF(A68='Données projet'!$A$88,'Données projet'!$B$88,BD67+BC68-BL67)))</f>
        <v>608.99999999999966</v>
      </c>
      <c r="BE68" s="13">
        <f>BD68*VLOOKUP('Données projet'!$B$11,Paramètres!$A$1:$I$89,3,0)*VLOOKUP('Données projet'!$B$11,Paramètres!$A$1:$I$89,5,0)</f>
        <v>245.42699999999988</v>
      </c>
      <c r="BF68" s="13">
        <f t="shared" si="37"/>
        <v>59.605652070701716</v>
      </c>
      <c r="BG68" s="20">
        <f t="shared" ref="BG68:BG131" si="61">(BE68+BF68)*0.475*44/12</f>
        <v>531.26520235647195</v>
      </c>
      <c r="BH68" s="59">
        <f t="shared" ref="BH68:BH131" si="62">BG68+(AY68+AZ68)*44/12</f>
        <v>824.5985356898052</v>
      </c>
      <c r="BI68" s="59">
        <f ca="1">AVERAGE(OFFSET($BH$3,0,0,'Données projet'!$E$11+1,1))-AVERAGE(OFFSET($H$3,0,0,'Données projet'!$E$11+1,1))</f>
        <v>265.97106059040101</v>
      </c>
      <c r="BJ68" s="59">
        <f t="shared" si="38"/>
        <v>240.18718869578237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2.8815235131721031</v>
      </c>
      <c r="BQ68" s="21">
        <f>EXP(-LN(2)/25)*BQ67+(1-EXP(-LN(2)/25))/(LN(2)/25)*Calculateur!BL68*Calculateur!BN68*VLOOKUP('Données projet'!$B$11,Paramètres!$A$1:$I$89,3,0)*0.475*44/12</f>
        <v>4.3503761269199552</v>
      </c>
      <c r="BR68" s="21">
        <f>EXP(-LN(2)/2)*BR67+(1-EXP(-LN(2)/2))/(LN(2)/2)*BL68*BO68*VLOOKUP('Données projet'!$B$11,Paramètres!$A$1:$I$89,3,0)*0.475*44/12</f>
        <v>9.6494315172830557E-5</v>
      </c>
      <c r="BS68" s="22">
        <f t="shared" ref="BS68:BS131" si="63">SUM(BP68:BR68)</f>
        <v>7.2319961344072308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9.1999999999999993</v>
      </c>
      <c r="BY68" s="12">
        <f>IF('Données projet'!$A$114&gt;35,BY67+BX68-CG67,IF(A68&lt;'Données projet'!$A$114,$BV$205^A68,IF(A68='Données projet'!$A$114,'Données projet'!$B$114,BY67+BX68-CG67)))</f>
        <v>375.99999999999972</v>
      </c>
      <c r="BZ68" s="13">
        <f>BY68*VLOOKUP('Données projet'!$B$12,Paramètres!$A$1:$I$89,3,0)*VLOOKUP('Données projet'!$B$12,Paramètres!$A$1:$I$89,5,0)</f>
        <v>224.84799999999984</v>
      </c>
      <c r="CA68" s="13">
        <f t="shared" si="39"/>
        <v>55.167234148809698</v>
      </c>
      <c r="CB68" s="20">
        <f t="shared" ref="CB68:CB131" si="64">(BZ68+CA68)*0.475*44/12</f>
        <v>487.69319947584319</v>
      </c>
      <c r="CC68" s="59">
        <f t="shared" ref="CC68:CC131" si="65">CB68+(BT68+BU68)*44/12</f>
        <v>781.0265328091765</v>
      </c>
      <c r="CD68" s="59">
        <f ca="1">AVERAGE(OFFSET($CC$3,0,0,'Données projet'!$E$12+1,1))-AVERAGE(OFFSET($H$3,0,0,'Données projet'!$E$12+1,1))</f>
        <v>247.30892363953825</v>
      </c>
      <c r="CE68" s="59">
        <f t="shared" si="40"/>
        <v>248.38414731596578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2.4988494647114594</v>
      </c>
      <c r="CL68" s="21">
        <f>EXP(-LN(2)/25)*CL67+(1-EXP(-LN(2)/25))/(LN(2)/25)*Calculateur!CG68*Calculateur!CI68*VLOOKUP('Données projet'!$B$12,Paramètres!$A$1:$I$89,3,0)*0.475*44/12</f>
        <v>3.925801779979174</v>
      </c>
      <c r="CM68" s="21">
        <f>EXP(-LN(2)/2)*CM67+(1-EXP(-LN(2)/2))/(LN(2)/2)*CG68*CJ68*VLOOKUP('Données projet'!$B$12,Paramètres!$A$1:$I$89,3,0)*0.475*44/12</f>
        <v>1.0244630004089635E-4</v>
      </c>
      <c r="CN68" s="22">
        <f t="shared" ref="CN68:CN131" si="66">SUM(CK68:CM68)</f>
        <v>6.4247536909906735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191.77102466144095</v>
      </c>
      <c r="T69" s="59">
        <f t="shared" ref="T69:T132" si="88">$T$3</f>
        <v>205.57161411620217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3.0452227476372777</v>
      </c>
      <c r="AA69" s="21">
        <f>EXP(-LN(2)/25)*AA68+(1-EXP(-LN(2)/25))/(LN(2)/25)*Calculateur!V69*Calculateur!X69*VLOOKUP('Données projet'!$B$9,Paramètres!$A$1:$I$89,3,0)*0.475*44/12</f>
        <v>4.5447600315249028</v>
      </c>
      <c r="AB69" s="21">
        <f>EXP(-LN(2)/2)*AB68+(1-EXP(-LN(2)/2))/(LN(2)/2)*V69*Y69*VLOOKUP('Données projet'!$B$9,Paramètres!$A$1:$I$89,3,0)*0.475*44/12</f>
        <v>2.0773667808815634E-5</v>
      </c>
      <c r="AC69" s="22">
        <f t="shared" si="57"/>
        <v>7.5900035528299901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9.1999999999999993</v>
      </c>
      <c r="AI69" s="13">
        <f>IF('Données projet'!$A$62&gt;35,AI68+AH69-AQ68,IF(A69&lt;'Données projet'!$A$62,$AF$205^A69,IF(A69='Données projet'!$A$62,'Données projet'!$B$62,AI68+AH69-AQ68)))</f>
        <v>385.1999999999997</v>
      </c>
      <c r="AJ69" s="13">
        <f>AI69*VLOOKUP('Données projet'!$B$10,Paramètres!$A$1:$I$89,3,0)*VLOOKUP('Données projet'!$B$10,Paramètres!$A$1:$I$89,5,0)</f>
        <v>230.34959999999984</v>
      </c>
      <c r="AK69" s="13">
        <f t="shared" ref="AK69:AK132" si="89">EXP(-1.0587+0.8836*LN(AJ69)+0.284)</f>
        <v>56.358266541426261</v>
      </c>
      <c r="AL69" s="20">
        <f t="shared" si="58"/>
        <v>499.34953422631708</v>
      </c>
      <c r="AM69" s="59">
        <f t="shared" si="59"/>
        <v>792.68286755965039</v>
      </c>
      <c r="AN69" s="59">
        <f ca="1">AVERAGE(OFFSET($AM$3,0,0,'Données projet'!$E$10+1,1))-AVERAGE(OFFSET($H$3,0,0,'Données projet'!$E$10+1,1))</f>
        <v>247.30892363953825</v>
      </c>
      <c r="AO69" s="59">
        <f t="shared" ref="AO69:AO132" si="90">$AO$3</f>
        <v>248.38414731596578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2.4498485508561441</v>
      </c>
      <c r="AV69" s="21">
        <f>EXP(-LN(2)/25)*AV68+(1-EXP(-LN(2)/25))/(LN(2)/25)*Calculateur!AQ69*Calculateur!AS69*VLOOKUP('Données projet'!$B$10,Paramètres!$A$1:$I$89,3,0)*0.475*44/12</f>
        <v>3.8184505238567006</v>
      </c>
      <c r="AW69" s="21">
        <f>EXP(-LN(2)/2)*AW68+(1-EXP(-LN(2)/2))/(LN(2)/2)*AQ69*AT69*VLOOKUP('Données projet'!$B$10,Paramètres!$A$1:$I$89,3,0)*0.475*44/12</f>
        <v>7.2440473466389485E-5</v>
      </c>
      <c r="AX69" s="21">
        <f t="shared" si="60"/>
        <v>6.2683715151863106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16.399999999999999</v>
      </c>
      <c r="BD69" s="12">
        <f>IF('Données projet'!$A$88&gt;35,BD68+BC69-BL68,IF(A69&lt;'Données projet'!$A$88,$BA$205^A69,IF(A69='Données projet'!$A$88,'Données projet'!$B$88,BD68+BC69-BL68)))</f>
        <v>625.39999999999964</v>
      </c>
      <c r="BE69" s="13">
        <f>BD69*VLOOKUP('Données projet'!$B$11,Paramètres!$A$1:$I$89,3,0)*VLOOKUP('Données projet'!$B$11,Paramètres!$A$1:$I$89,5,0)</f>
        <v>252.03619999999987</v>
      </c>
      <c r="BF69" s="13">
        <f t="shared" ref="BF69:BF132" si="91">EXP(-1.0587+0.8836*LN(BE69)+0.284)</f>
        <v>61.021756373817645</v>
      </c>
      <c r="BG69" s="20">
        <f t="shared" si="61"/>
        <v>545.24260735106543</v>
      </c>
      <c r="BH69" s="59">
        <f t="shared" si="62"/>
        <v>838.5759406843988</v>
      </c>
      <c r="BI69" s="59">
        <f ca="1">AVERAGE(OFFSET($BH$3,0,0,'Données projet'!$E$11+1,1))-AVERAGE(OFFSET($H$3,0,0,'Données projet'!$E$11+1,1))</f>
        <v>265.97106059040101</v>
      </c>
      <c r="BJ69" s="59">
        <f t="shared" ref="BJ69:BJ132" si="92">$BJ$3</f>
        <v>240.18718869578237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2.8250185946345971</v>
      </c>
      <c r="BQ69" s="21">
        <f>EXP(-LN(2)/25)*BQ68+(1-EXP(-LN(2)/25))/(LN(2)/25)*Calculateur!BL69*Calculateur!BN69*VLOOKUP('Données projet'!$B$11,Paramètres!$A$1:$I$89,3,0)*0.475*44/12</f>
        <v>4.2314148629529917</v>
      </c>
      <c r="BR69" s="21">
        <f>EXP(-LN(2)/2)*BR68+(1-EXP(-LN(2)/2))/(LN(2)/2)*BL69*BO69*VLOOKUP('Données projet'!$B$11,Paramètres!$A$1:$I$89,3,0)*0.475*44/12</f>
        <v>6.8231784604660449E-5</v>
      </c>
      <c r="BS69" s="22">
        <f t="shared" si="63"/>
        <v>7.0565016893721939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9.1999999999999993</v>
      </c>
      <c r="BY69" s="12">
        <f>IF('Données projet'!$A$114&gt;35,BY68+BX69-CG68,IF(A69&lt;'Données projet'!$A$114,$BV$205^A69,IF(A69='Données projet'!$A$114,'Données projet'!$B$114,BY68+BX69-CG68)))</f>
        <v>385.1999999999997</v>
      </c>
      <c r="BZ69" s="13">
        <f>BY69*VLOOKUP('Données projet'!$B$12,Paramètres!$A$1:$I$89,3,0)*VLOOKUP('Données projet'!$B$12,Paramètres!$A$1:$I$89,5,0)</f>
        <v>230.34959999999984</v>
      </c>
      <c r="CA69" s="13">
        <f t="shared" ref="CA69:CA132" si="93">EXP(-1.0587+0.8836*LN(BZ69)+0.284)</f>
        <v>56.358266541426261</v>
      </c>
      <c r="CB69" s="20">
        <f t="shared" si="64"/>
        <v>499.34953422631708</v>
      </c>
      <c r="CC69" s="59">
        <f t="shared" si="65"/>
        <v>792.68286755965039</v>
      </c>
      <c r="CD69" s="59">
        <f ca="1">AVERAGE(OFFSET($CC$3,0,0,'Données projet'!$E$12+1,1))-AVERAGE(OFFSET($H$3,0,0,'Données projet'!$E$12+1,1))</f>
        <v>247.30892363953825</v>
      </c>
      <c r="CE69" s="59">
        <f t="shared" ref="CE69:CE132" si="94">$CE$3</f>
        <v>248.38414731596578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2.4498485508561441</v>
      </c>
      <c r="CL69" s="21">
        <f>EXP(-LN(2)/25)*CL68+(1-EXP(-LN(2)/25))/(LN(2)/25)*Calculateur!CG69*Calculateur!CI69*VLOOKUP('Données projet'!$B$12,Paramètres!$A$1:$I$89,3,0)*0.475*44/12</f>
        <v>3.8184505238567006</v>
      </c>
      <c r="CM69" s="21">
        <f>EXP(-LN(2)/2)*CM68+(1-EXP(-LN(2)/2))/(LN(2)/2)*CG69*CJ69*VLOOKUP('Données projet'!$B$12,Paramètres!$A$1:$I$89,3,0)*0.475*44/12</f>
        <v>7.2440473466389485E-5</v>
      </c>
      <c r="CN69" s="22">
        <f t="shared" si="66"/>
        <v>6.2683715151863106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191.77102466144095</v>
      </c>
      <c r="T70" s="59">
        <f t="shared" si="88"/>
        <v>205.57161411620217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2.9855077869585833</v>
      </c>
      <c r="AA70" s="21">
        <f>EXP(-LN(2)/25)*AA69+(1-EXP(-LN(2)/25))/(LN(2)/25)*Calculateur!V70*Calculateur!X70*VLOOKUP('Données projet'!$B$9,Paramètres!$A$1:$I$89,3,0)*0.475*44/12</f>
        <v>4.4204833294643118</v>
      </c>
      <c r="AB70" s="21">
        <f>EXP(-LN(2)/2)*AB69+(1-EXP(-LN(2)/2))/(LN(2)/2)*V70*Y70*VLOOKUP('Données projet'!$B$9,Paramètres!$A$1:$I$89,3,0)*0.475*44/12</f>
        <v>1.4689201377730224E-5</v>
      </c>
      <c r="AC70" s="22">
        <f t="shared" si="57"/>
        <v>7.4060058056242726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9.1999999999999993</v>
      </c>
      <c r="AI70" s="13">
        <f>IF('Données projet'!$A$62&gt;35,AI69+AH70-AQ69,IF(A70&lt;'Données projet'!$A$62,$AF$205^A70,IF(A70='Données projet'!$A$62,'Données projet'!$B$62,AI69+AH70-AQ69)))</f>
        <v>394.39999999999969</v>
      </c>
      <c r="AJ70" s="13">
        <f>AI70*VLOOKUP('Données projet'!$B$10,Paramètres!$A$1:$I$89,3,0)*VLOOKUP('Données projet'!$B$10,Paramètres!$A$1:$I$89,5,0)</f>
        <v>235.85119999999984</v>
      </c>
      <c r="AK70" s="13">
        <f t="shared" si="89"/>
        <v>57.545992055843016</v>
      </c>
      <c r="AL70" s="20">
        <f t="shared" si="58"/>
        <v>511.0001094972597</v>
      </c>
      <c r="AM70" s="59">
        <f t="shared" si="59"/>
        <v>804.33344283059296</v>
      </c>
      <c r="AN70" s="59">
        <f ca="1">AVERAGE(OFFSET($AM$3,0,0,'Données projet'!$E$10+1,1))-AVERAGE(OFFSET($H$3,0,0,'Données projet'!$E$10+1,1))</f>
        <v>247.30892363953825</v>
      </c>
      <c r="AO70" s="59">
        <f t="shared" si="90"/>
        <v>248.38414731596578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2.4018085150339252</v>
      </c>
      <c r="AV70" s="21">
        <f>EXP(-LN(2)/25)*AV69+(1-EXP(-LN(2)/25))/(LN(2)/25)*Calculateur!AQ70*Calculateur!AS70*VLOOKUP('Données projet'!$B$10,Paramètres!$A$1:$I$89,3,0)*0.475*44/12</f>
        <v>3.7140347934782532</v>
      </c>
      <c r="AW70" s="21">
        <f>EXP(-LN(2)/2)*AW69+(1-EXP(-LN(2)/2))/(LN(2)/2)*AQ70*AT70*VLOOKUP('Données projet'!$B$10,Paramètres!$A$1:$I$89,3,0)*0.475*44/12</f>
        <v>5.1223150020448173E-5</v>
      </c>
      <c r="AX70" s="21">
        <f t="shared" si="60"/>
        <v>6.1158945316621987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16.399999999999999</v>
      </c>
      <c r="BD70" s="12">
        <f>IF('Données projet'!$A$88&gt;35,BD69+BC70-BL69,IF(A70&lt;'Données projet'!$A$88,$BA$205^A70,IF(A70='Données projet'!$A$88,'Données projet'!$B$88,BD69+BC70-BL69)))</f>
        <v>641.79999999999961</v>
      </c>
      <c r="BE70" s="13">
        <f>BD70*VLOOKUP('Données projet'!$B$11,Paramètres!$A$1:$I$89,3,0)*VLOOKUP('Données projet'!$B$11,Paramètres!$A$1:$I$89,5,0)</f>
        <v>258.64539999999988</v>
      </c>
      <c r="BF70" s="13">
        <f t="shared" si="91"/>
        <v>62.43354425243421</v>
      </c>
      <c r="BG70" s="20">
        <f t="shared" si="61"/>
        <v>559.21249457298939</v>
      </c>
      <c r="BH70" s="59">
        <f t="shared" si="62"/>
        <v>852.54582790632276</v>
      </c>
      <c r="BI70" s="59">
        <f ca="1">AVERAGE(OFFSET($BH$3,0,0,'Données projet'!$E$11+1,1))-AVERAGE(OFFSET($H$3,0,0,'Données projet'!$E$11+1,1))</f>
        <v>265.97106059040101</v>
      </c>
      <c r="BJ70" s="59">
        <f t="shared" si="92"/>
        <v>240.18718869578237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2.7696217030850141</v>
      </c>
      <c r="BQ70" s="21">
        <f>EXP(-LN(2)/25)*BQ69+(1-EXP(-LN(2)/25))/(LN(2)/25)*Calculateur!BL70*Calculateur!BN70*VLOOKUP('Données projet'!$B$11,Paramètres!$A$1:$I$89,3,0)*0.475*44/12</f>
        <v>4.1157066010051055</v>
      </c>
      <c r="BR70" s="21">
        <f>EXP(-LN(2)/2)*BR69+(1-EXP(-LN(2)/2))/(LN(2)/2)*BL70*BO70*VLOOKUP('Données projet'!$B$11,Paramètres!$A$1:$I$89,3,0)*0.475*44/12</f>
        <v>4.8247157586415279E-5</v>
      </c>
      <c r="BS70" s="22">
        <f t="shared" si="63"/>
        <v>6.8853765512477061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9.1999999999999993</v>
      </c>
      <c r="BY70" s="12">
        <f>IF('Données projet'!$A$114&gt;35,BY69+BX70-CG69,IF(A70&lt;'Données projet'!$A$114,$BV$205^A70,IF(A70='Données projet'!$A$114,'Données projet'!$B$114,BY69+BX70-CG69)))</f>
        <v>394.39999999999969</v>
      </c>
      <c r="BZ70" s="13">
        <f>BY70*VLOOKUP('Données projet'!$B$12,Paramètres!$A$1:$I$89,3,0)*VLOOKUP('Données projet'!$B$12,Paramètres!$A$1:$I$89,5,0)</f>
        <v>235.85119999999984</v>
      </c>
      <c r="CA70" s="13">
        <f t="shared" si="93"/>
        <v>57.545992055843016</v>
      </c>
      <c r="CB70" s="20">
        <f t="shared" si="64"/>
        <v>511.0001094972597</v>
      </c>
      <c r="CC70" s="59">
        <f t="shared" si="65"/>
        <v>804.33344283059296</v>
      </c>
      <c r="CD70" s="59">
        <f ca="1">AVERAGE(OFFSET($CC$3,0,0,'Données projet'!$E$12+1,1))-AVERAGE(OFFSET($H$3,0,0,'Données projet'!$E$12+1,1))</f>
        <v>247.30892363953825</v>
      </c>
      <c r="CE70" s="59">
        <f t="shared" si="94"/>
        <v>248.38414731596578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2.4018085150339252</v>
      </c>
      <c r="CL70" s="21">
        <f>EXP(-LN(2)/25)*CL69+(1-EXP(-LN(2)/25))/(LN(2)/25)*Calculateur!CG70*Calculateur!CI70*VLOOKUP('Données projet'!$B$12,Paramètres!$A$1:$I$89,3,0)*0.475*44/12</f>
        <v>3.7140347934782532</v>
      </c>
      <c r="CM70" s="21">
        <f>EXP(-LN(2)/2)*CM69+(1-EXP(-LN(2)/2))/(LN(2)/2)*CG70*CJ70*VLOOKUP('Données projet'!$B$12,Paramètres!$A$1:$I$89,3,0)*0.475*44/12</f>
        <v>5.1223150020448173E-5</v>
      </c>
      <c r="CN70" s="22">
        <f t="shared" si="66"/>
        <v>6.1158945316621987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191.77102466144095</v>
      </c>
      <c r="T71" s="59">
        <f t="shared" si="88"/>
        <v>205.57161411620217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2.9269638002362686</v>
      </c>
      <c r="AA71" s="21">
        <f>EXP(-LN(2)/25)*AA70+(1-EXP(-LN(2)/25))/(LN(2)/25)*Calculateur!V71*Calculateur!X71*VLOOKUP('Données projet'!$B$9,Paramètres!$A$1:$I$89,3,0)*0.475*44/12</f>
        <v>4.2996049803569951</v>
      </c>
      <c r="AB71" s="21">
        <f>EXP(-LN(2)/2)*AB70+(1-EXP(-LN(2)/2))/(LN(2)/2)*V71*Y71*VLOOKUP('Données projet'!$B$9,Paramètres!$A$1:$I$89,3,0)*0.475*44/12</f>
        <v>1.0386833904407819E-5</v>
      </c>
      <c r="AC71" s="22">
        <f t="shared" si="57"/>
        <v>7.2265791674271673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9.1999999999999993</v>
      </c>
      <c r="AI71" s="13">
        <f>IF('Données projet'!$A$62&gt;35,AI70+AH71-AQ70,IF(A71&lt;'Données projet'!$A$62,$AF$205^A71,IF(A71='Données projet'!$A$62,'Données projet'!$B$62,AI70+AH71-AQ70)))</f>
        <v>403.59999999999968</v>
      </c>
      <c r="AJ71" s="13">
        <f>AI71*VLOOKUP('Données projet'!$B$10,Paramètres!$A$1:$I$89,3,0)*VLOOKUP('Données projet'!$B$10,Paramètres!$A$1:$I$89,5,0)</f>
        <v>241.35279999999983</v>
      </c>
      <c r="AK71" s="13">
        <f t="shared" si="89"/>
        <v>58.730496708031964</v>
      </c>
      <c r="AL71" s="20">
        <f t="shared" si="58"/>
        <v>522.64507509982207</v>
      </c>
      <c r="AM71" s="59">
        <f t="shared" si="59"/>
        <v>815.97840843315544</v>
      </c>
      <c r="AN71" s="59">
        <f ca="1">AVERAGE(OFFSET($AM$3,0,0,'Données projet'!$E$10+1,1))-AVERAGE(OFFSET($H$3,0,0,'Données projet'!$E$10+1,1))</f>
        <v>247.30892363953825</v>
      </c>
      <c r="AO71" s="59">
        <f t="shared" si="90"/>
        <v>248.38414731596578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2.3547105150126515</v>
      </c>
      <c r="AV71" s="21">
        <f>EXP(-LN(2)/25)*AV70+(1-EXP(-LN(2)/25))/(LN(2)/25)*Calculateur!AQ71*Calculateur!AS71*VLOOKUP('Données projet'!$B$10,Paramètres!$A$1:$I$89,3,0)*0.475*44/12</f>
        <v>3.6124743167379889</v>
      </c>
      <c r="AW71" s="21">
        <f>EXP(-LN(2)/2)*AW70+(1-EXP(-LN(2)/2))/(LN(2)/2)*AQ71*AT71*VLOOKUP('Données projet'!$B$10,Paramètres!$A$1:$I$89,3,0)*0.475*44/12</f>
        <v>3.6220236733194742E-5</v>
      </c>
      <c r="AX71" s="21">
        <f t="shared" si="60"/>
        <v>5.9672210519873738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16.399999999999999</v>
      </c>
      <c r="BD71" s="12">
        <f>IF('Données projet'!$A$88&gt;35,BD70+BC71-BL70,IF(A71&lt;'Données projet'!$A$88,$BA$205^A71,IF(A71='Données projet'!$A$88,'Données projet'!$B$88,BD70+BC71-BL70)))</f>
        <v>658.19999999999959</v>
      </c>
      <c r="BE71" s="13">
        <f>BD71*VLOOKUP('Données projet'!$B$11,Paramètres!$A$1:$I$89,3,0)*VLOOKUP('Données projet'!$B$11,Paramètres!$A$1:$I$89,5,0)</f>
        <v>265.25459999999981</v>
      </c>
      <c r="BF71" s="13">
        <f t="shared" si="91"/>
        <v>63.84113868755783</v>
      </c>
      <c r="BG71" s="20">
        <f t="shared" si="61"/>
        <v>573.1750782141628</v>
      </c>
      <c r="BH71" s="59">
        <f t="shared" si="62"/>
        <v>866.50841154749605</v>
      </c>
      <c r="BI71" s="59">
        <f ca="1">AVERAGE(OFFSET($BH$3,0,0,'Données projet'!$E$11+1,1))-AVERAGE(OFFSET($H$3,0,0,'Données projet'!$E$11+1,1))</f>
        <v>265.97106059040101</v>
      </c>
      <c r="BJ71" s="59">
        <f t="shared" si="92"/>
        <v>240.18718869578237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2.7153111107899512</v>
      </c>
      <c r="BQ71" s="21">
        <f>EXP(-LN(2)/25)*BQ70+(1-EXP(-LN(2)/25))/(LN(2)/25)*Calculateur!BL71*Calculateur!BN71*VLOOKUP('Données projet'!$B$11,Paramètres!$A$1:$I$89,3,0)*0.475*44/12</f>
        <v>4.0031623875650171</v>
      </c>
      <c r="BR71" s="21">
        <f>EXP(-LN(2)/2)*BR70+(1-EXP(-LN(2)/2))/(LN(2)/2)*BL71*BO71*VLOOKUP('Données projet'!$B$11,Paramètres!$A$1:$I$89,3,0)*0.475*44/12</f>
        <v>3.4115892302330224E-5</v>
      </c>
      <c r="BS71" s="22">
        <f t="shared" si="63"/>
        <v>6.7185076142472706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9.1999999999999993</v>
      </c>
      <c r="BY71" s="12">
        <f>IF('Données projet'!$A$114&gt;35,BY70+BX71-CG70,IF(A71&lt;'Données projet'!$A$114,$BV$205^A71,IF(A71='Données projet'!$A$114,'Données projet'!$B$114,BY70+BX71-CG70)))</f>
        <v>403.59999999999968</v>
      </c>
      <c r="BZ71" s="13">
        <f>BY71*VLOOKUP('Données projet'!$B$12,Paramètres!$A$1:$I$89,3,0)*VLOOKUP('Données projet'!$B$12,Paramètres!$A$1:$I$89,5,0)</f>
        <v>241.35279999999983</v>
      </c>
      <c r="CA71" s="13">
        <f t="shared" si="93"/>
        <v>58.730496708031964</v>
      </c>
      <c r="CB71" s="20">
        <f t="shared" si="64"/>
        <v>522.64507509982207</v>
      </c>
      <c r="CC71" s="59">
        <f t="shared" si="65"/>
        <v>815.97840843315544</v>
      </c>
      <c r="CD71" s="59">
        <f ca="1">AVERAGE(OFFSET($CC$3,0,0,'Données projet'!$E$12+1,1))-AVERAGE(OFFSET($H$3,0,0,'Données projet'!$E$12+1,1))</f>
        <v>247.30892363953825</v>
      </c>
      <c r="CE71" s="59">
        <f t="shared" si="94"/>
        <v>248.38414731596578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2.3547105150126515</v>
      </c>
      <c r="CL71" s="21">
        <f>EXP(-LN(2)/25)*CL70+(1-EXP(-LN(2)/25))/(LN(2)/25)*Calculateur!CG71*Calculateur!CI71*VLOOKUP('Données projet'!$B$12,Paramètres!$A$1:$I$89,3,0)*0.475*44/12</f>
        <v>3.6124743167379889</v>
      </c>
      <c r="CM71" s="21">
        <f>EXP(-LN(2)/2)*CM70+(1-EXP(-LN(2)/2))/(LN(2)/2)*CG71*CJ71*VLOOKUP('Données projet'!$B$12,Paramètres!$A$1:$I$89,3,0)*0.475*44/12</f>
        <v>3.6220236733194742E-5</v>
      </c>
      <c r="CN71" s="22">
        <f t="shared" si="66"/>
        <v>5.9672210519873738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191.77102466144095</v>
      </c>
      <c r="T72" s="59">
        <f t="shared" si="88"/>
        <v>205.57161411620217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2.8695678253852726</v>
      </c>
      <c r="AA72" s="21">
        <f>EXP(-LN(2)/25)*AA71+(1-EXP(-LN(2)/25))/(LN(2)/25)*Calculateur!V72*Calculateur!X72*VLOOKUP('Données projet'!$B$9,Paramètres!$A$1:$I$89,3,0)*0.475*44/12</f>
        <v>4.1820320560627344</v>
      </c>
      <c r="AB72" s="21">
        <f>EXP(-LN(2)/2)*AB71+(1-EXP(-LN(2)/2))/(LN(2)/2)*V72*Y72*VLOOKUP('Données projet'!$B$9,Paramètres!$A$1:$I$89,3,0)*0.475*44/12</f>
        <v>7.3446006888651128E-6</v>
      </c>
      <c r="AC72" s="22">
        <f t="shared" si="57"/>
        <v>7.0516072260486959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9.1999999999999993</v>
      </c>
      <c r="AI72" s="13">
        <f>IF('Données projet'!$A$62&gt;35,AI71+AH72-AQ71,IF(A72&lt;'Données projet'!$A$62,$AF$205^A72,IF(A72='Données projet'!$A$62,'Données projet'!$B$62,AI71+AH72-AQ71)))</f>
        <v>412.79999999999967</v>
      </c>
      <c r="AJ72" s="13">
        <f>AI72*VLOOKUP('Données projet'!$B$10,Paramètres!$A$1:$I$89,3,0)*VLOOKUP('Données projet'!$B$10,Paramètres!$A$1:$I$89,5,0)</f>
        <v>246.85439999999983</v>
      </c>
      <c r="AK72" s="13">
        <f t="shared" si="89"/>
        <v>59.911862368716115</v>
      </c>
      <c r="AL72" s="20">
        <f t="shared" si="58"/>
        <v>534.28457362551364</v>
      </c>
      <c r="AM72" s="59">
        <f t="shared" si="59"/>
        <v>827.61790695884702</v>
      </c>
      <c r="AN72" s="59">
        <f ca="1">AVERAGE(OFFSET($AM$3,0,0,'Données projet'!$E$10+1,1))-AVERAGE(OFFSET($H$3,0,0,'Données projet'!$E$10+1,1))</f>
        <v>247.30892363953825</v>
      </c>
      <c r="AO72" s="59">
        <f t="shared" si="90"/>
        <v>248.38414731596578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2.3085360780448516</v>
      </c>
      <c r="AV72" s="21">
        <f>EXP(-LN(2)/25)*AV71+(1-EXP(-LN(2)/25))/(LN(2)/25)*Calculateur!AQ72*Calculateur!AS72*VLOOKUP('Données projet'!$B$10,Paramètres!$A$1:$I$89,3,0)*0.475*44/12</f>
        <v>3.5136910165750206</v>
      </c>
      <c r="AW72" s="21">
        <f>EXP(-LN(2)/2)*AW71+(1-EXP(-LN(2)/2))/(LN(2)/2)*AQ72*AT72*VLOOKUP('Données projet'!$B$10,Paramètres!$A$1:$I$89,3,0)*0.475*44/12</f>
        <v>2.5611575010224086E-5</v>
      </c>
      <c r="AX72" s="21">
        <f t="shared" si="60"/>
        <v>5.8222527061948828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16.399999999999999</v>
      </c>
      <c r="BD72" s="12">
        <f>IF('Données projet'!$A$88&gt;35,BD71+BC72-BL71,IF(A72&lt;'Données projet'!$A$88,$BA$205^A72,IF(A72='Données projet'!$A$88,'Données projet'!$B$88,BD71+BC72-BL71)))</f>
        <v>674.59999999999957</v>
      </c>
      <c r="BE72" s="13">
        <f>BD72*VLOOKUP('Données projet'!$B$11,Paramètres!$A$1:$I$89,3,0)*VLOOKUP('Données projet'!$B$11,Paramètres!$A$1:$I$89,5,0)</f>
        <v>271.86379999999986</v>
      </c>
      <c r="BF72" s="13">
        <f t="shared" si="91"/>
        <v>65.244656182393626</v>
      </c>
      <c r="BG72" s="20">
        <f t="shared" si="61"/>
        <v>587.13056118433519</v>
      </c>
      <c r="BH72" s="59">
        <f t="shared" si="62"/>
        <v>880.46389451766845</v>
      </c>
      <c r="BI72" s="59">
        <f ca="1">AVERAGE(OFFSET($BH$3,0,0,'Données projet'!$E$11+1,1))-AVERAGE(OFFSET($H$3,0,0,'Données projet'!$E$11+1,1))</f>
        <v>265.97106059040101</v>
      </c>
      <c r="BJ72" s="59">
        <f t="shared" si="92"/>
        <v>240.18718869578237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2.662065516083604</v>
      </c>
      <c r="BQ72" s="21">
        <f>EXP(-LN(2)/25)*BQ71+(1-EXP(-LN(2)/25))/(LN(2)/25)*Calculateur!BL72*Calculateur!BN72*VLOOKUP('Données projet'!$B$11,Paramètres!$A$1:$I$89,3,0)*0.475*44/12</f>
        <v>3.8936957015598912</v>
      </c>
      <c r="BR72" s="21">
        <f>EXP(-LN(2)/2)*BR71+(1-EXP(-LN(2)/2))/(LN(2)/2)*BL72*BO72*VLOOKUP('Données projet'!$B$11,Paramètres!$A$1:$I$89,3,0)*0.475*44/12</f>
        <v>2.4123578793207639E-5</v>
      </c>
      <c r="BS72" s="22">
        <f t="shared" si="63"/>
        <v>6.555785341222288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9.1999999999999993</v>
      </c>
      <c r="BY72" s="12">
        <f>IF('Données projet'!$A$114&gt;35,BY71+BX72-CG71,IF(A72&lt;'Données projet'!$A$114,$BV$205^A72,IF(A72='Données projet'!$A$114,'Données projet'!$B$114,BY71+BX72-CG71)))</f>
        <v>412.79999999999967</v>
      </c>
      <c r="BZ72" s="13">
        <f>BY72*VLOOKUP('Données projet'!$B$12,Paramètres!$A$1:$I$89,3,0)*VLOOKUP('Données projet'!$B$12,Paramètres!$A$1:$I$89,5,0)</f>
        <v>246.85439999999983</v>
      </c>
      <c r="CA72" s="13">
        <f t="shared" si="93"/>
        <v>59.911862368716115</v>
      </c>
      <c r="CB72" s="20">
        <f t="shared" si="64"/>
        <v>534.28457362551364</v>
      </c>
      <c r="CC72" s="59">
        <f t="shared" si="65"/>
        <v>827.61790695884702</v>
      </c>
      <c r="CD72" s="59">
        <f ca="1">AVERAGE(OFFSET($CC$3,0,0,'Données projet'!$E$12+1,1))-AVERAGE(OFFSET($H$3,0,0,'Données projet'!$E$12+1,1))</f>
        <v>247.30892363953825</v>
      </c>
      <c r="CE72" s="59">
        <f t="shared" si="94"/>
        <v>248.38414731596578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2.3085360780448516</v>
      </c>
      <c r="CL72" s="21">
        <f>EXP(-LN(2)/25)*CL71+(1-EXP(-LN(2)/25))/(LN(2)/25)*Calculateur!CG72*Calculateur!CI72*VLOOKUP('Données projet'!$B$12,Paramètres!$A$1:$I$89,3,0)*0.475*44/12</f>
        <v>3.5136910165750206</v>
      </c>
      <c r="CM72" s="21">
        <f>EXP(-LN(2)/2)*CM71+(1-EXP(-LN(2)/2))/(LN(2)/2)*CG72*CJ72*VLOOKUP('Données projet'!$B$12,Paramètres!$A$1:$I$89,3,0)*0.475*44/12</f>
        <v>2.5611575010224086E-5</v>
      </c>
      <c r="CN72" s="22">
        <f t="shared" si="66"/>
        <v>5.8222527061948828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191.77102466144095</v>
      </c>
      <c r="T73" s="59">
        <f t="shared" si="88"/>
        <v>205.57161411620217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2.8132973505930168</v>
      </c>
      <c r="AA73" s="21">
        <f>EXP(-LN(2)/25)*AA72+(1-EXP(-LN(2)/25))/(LN(2)/25)*Calculateur!V73*Calculateur!X73*VLOOKUP('Données projet'!$B$9,Paramètres!$A$1:$I$89,3,0)*0.475*44/12</f>
        <v>4.0676741695661915</v>
      </c>
      <c r="AB73" s="21">
        <f>EXP(-LN(2)/2)*AB72+(1-EXP(-LN(2)/2))/(LN(2)/2)*V73*Y73*VLOOKUP('Données projet'!$B$9,Paramètres!$A$1:$I$89,3,0)*0.475*44/12</f>
        <v>5.1934169522039103E-6</v>
      </c>
      <c r="AC73" s="22">
        <f t="shared" si="57"/>
        <v>6.8809767135761613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422</v>
      </c>
      <c r="AG73" s="12">
        <f>VLOOKUP(A73,'Données projet'!$A$61:$I$81,9,0)</f>
        <v>9.1999999999999993</v>
      </c>
      <c r="AH73" s="12">
        <f t="array" ref="AH73">INDEX(AG:AG,MIN(IF(ISNUMBER(AG73:AG269),ROW(AG73:AG269),"")))</f>
        <v>9.1999999999999993</v>
      </c>
      <c r="AI73" s="13">
        <f>IF('Données projet'!$A$62&gt;35,AI72+AH73-AQ72,IF(A73&lt;'Données projet'!$A$62,$AF$205^A73,IF(A73='Données projet'!$A$62,'Données projet'!$B$62,AI72+AH73-AQ72)))</f>
        <v>421.99999999999966</v>
      </c>
      <c r="AJ73" s="13">
        <f>AI73*VLOOKUP('Données projet'!$B$10,Paramètres!$A$1:$I$89,3,0)*VLOOKUP('Données projet'!$B$10,Paramètres!$A$1:$I$89,5,0)</f>
        <v>252.35599999999982</v>
      </c>
      <c r="AK73" s="13">
        <f t="shared" si="89"/>
        <v>61.090167050998701</v>
      </c>
      <c r="AL73" s="20">
        <f t="shared" si="58"/>
        <v>545.9187409471557</v>
      </c>
      <c r="AM73" s="59">
        <f t="shared" si="59"/>
        <v>839.25207428048907</v>
      </c>
      <c r="AN73" s="59">
        <f ca="1">AVERAGE(OFFSET($AM$3,0,0,'Données projet'!$E$10+1,1))-AVERAGE(OFFSET($H$3,0,0,'Données projet'!$E$10+1,1))</f>
        <v>247.30892363953825</v>
      </c>
      <c r="AO73" s="59">
        <f t="shared" si="90"/>
        <v>248.38414731596578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44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2.2632670936223644</v>
      </c>
      <c r="AV73" s="21">
        <f>EXP(-LN(2)/25)*AV72+(1-EXP(-LN(2)/25))/(LN(2)/25)*Calculateur!AQ73*Calculateur!AS73*VLOOKUP('Données projet'!$B$10,Paramètres!$A$1:$I$89,3,0)*0.475*44/12</f>
        <v>3.4176089509497967</v>
      </c>
      <c r="AW73" s="21">
        <f>EXP(-LN(2)/2)*AW72+(1-EXP(-LN(2)/2))/(LN(2)/2)*AQ73*AT73*VLOOKUP('Données projet'!$B$10,Paramètres!$A$1:$I$89,3,0)*0.475*44/12</f>
        <v>1.8110118366597371E-5</v>
      </c>
      <c r="AX73" s="21">
        <f t="shared" si="60"/>
        <v>5.6808941546905274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691</v>
      </c>
      <c r="BB73" s="12">
        <f>VLOOKUP(A73,'Données projet'!$A$87:$I$107,9,0)</f>
        <v>16.399999999999999</v>
      </c>
      <c r="BC73" s="12">
        <f t="array" ref="BC73">INDEX(BB:BB,MIN(IF(ISNUMBER(BB73:BB269),ROW(BB73:BB269),"")))</f>
        <v>16.399999999999999</v>
      </c>
      <c r="BD73" s="12">
        <f>IF('Données projet'!$A$88&gt;35,BD72+BC73-BL72,IF(A73&lt;'Données projet'!$A$88,$BA$205^A73,IF(A73='Données projet'!$A$88,'Données projet'!$B$88,BD72+BC73-BL72)))</f>
        <v>690.99999999999955</v>
      </c>
      <c r="BE73" s="13">
        <f>BD73*VLOOKUP('Données projet'!$B$11,Paramètres!$A$1:$I$89,3,0)*VLOOKUP('Données projet'!$B$11,Paramètres!$A$1:$I$89,5,0)</f>
        <v>278.47299999999984</v>
      </c>
      <c r="BF73" s="13">
        <f t="shared" si="91"/>
        <v>66.644207252616695</v>
      </c>
      <c r="BG73" s="20">
        <f t="shared" si="61"/>
        <v>601.07913596497372</v>
      </c>
      <c r="BH73" s="59">
        <f t="shared" si="62"/>
        <v>894.41246929830709</v>
      </c>
      <c r="BI73" s="59">
        <f ca="1">AVERAGE(OFFSET($BH$3,0,0,'Données projet'!$E$11+1,1))-AVERAGE(OFFSET($H$3,0,0,'Données projet'!$E$11+1,1))</f>
        <v>265.97106059040101</v>
      </c>
      <c r="BJ73" s="59">
        <f t="shared" si="92"/>
        <v>240.18718869578237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85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2.6098640350128424</v>
      </c>
      <c r="BQ73" s="21">
        <f>EXP(-LN(2)/25)*BQ72+(1-EXP(-LN(2)/25))/(LN(2)/25)*Calculateur!BL73*Calculateur!BN73*VLOOKUP('Données projet'!$B$11,Paramètres!$A$1:$I$89,3,0)*0.475*44/12</f>
        <v>3.7872223878401781</v>
      </c>
      <c r="BR73" s="21">
        <f>EXP(-LN(2)/2)*BR72+(1-EXP(-LN(2)/2))/(LN(2)/2)*BL73*BO73*VLOOKUP('Données projet'!$B$11,Paramètres!$A$1:$I$89,3,0)*0.475*44/12</f>
        <v>1.7057946151165112E-5</v>
      </c>
      <c r="BS73" s="22">
        <f t="shared" si="63"/>
        <v>6.3971034807991716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422</v>
      </c>
      <c r="BW73" s="12">
        <f>VLOOKUP(A73,'Données projet'!$A$113:$I$133,9,0)</f>
        <v>9.1999999999999993</v>
      </c>
      <c r="BX73" s="12">
        <f t="array" ref="BX73">INDEX(BW:BW,MIN(IF(ISNUMBER(BW73:BW269),ROW(BW73:BW269),"")))</f>
        <v>9.1999999999999993</v>
      </c>
      <c r="BY73" s="12">
        <f>IF('Données projet'!$A$114&gt;35,BY72+BX73-CG72,IF(A73&lt;'Données projet'!$A$114,$BV$205^A73,IF(A73='Données projet'!$A$114,'Données projet'!$B$114,BY72+BX73-CG72)))</f>
        <v>421.99999999999966</v>
      </c>
      <c r="BZ73" s="13">
        <f>BY73*VLOOKUP('Données projet'!$B$12,Paramètres!$A$1:$I$89,3,0)*VLOOKUP('Données projet'!$B$12,Paramètres!$A$1:$I$89,5,0)</f>
        <v>252.35599999999982</v>
      </c>
      <c r="CA73" s="13">
        <f t="shared" si="93"/>
        <v>61.090167050998701</v>
      </c>
      <c r="CB73" s="20">
        <f t="shared" si="64"/>
        <v>545.9187409471557</v>
      </c>
      <c r="CC73" s="59">
        <f t="shared" si="65"/>
        <v>839.25207428048907</v>
      </c>
      <c r="CD73" s="59">
        <f ca="1">AVERAGE(OFFSET($CC$3,0,0,'Données projet'!$E$12+1,1))-AVERAGE(OFFSET($H$3,0,0,'Données projet'!$E$12+1,1))</f>
        <v>247.30892363953825</v>
      </c>
      <c r="CE73" s="59">
        <f t="shared" si="94"/>
        <v>248.38414731596578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44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2.2632670936223644</v>
      </c>
      <c r="CL73" s="21">
        <f>EXP(-LN(2)/25)*CL72+(1-EXP(-LN(2)/25))/(LN(2)/25)*Calculateur!CG73*Calculateur!CI73*VLOOKUP('Données projet'!$B$12,Paramètres!$A$1:$I$89,3,0)*0.475*44/12</f>
        <v>3.4176089509497967</v>
      </c>
      <c r="CM73" s="21">
        <f>EXP(-LN(2)/2)*CM72+(1-EXP(-LN(2)/2))/(LN(2)/2)*CG73*CJ73*VLOOKUP('Données projet'!$B$12,Paramètres!$A$1:$I$89,3,0)*0.475*44/12</f>
        <v>1.8110118366597371E-5</v>
      </c>
      <c r="CN73" s="22">
        <f t="shared" si="66"/>
        <v>5.6808941546905274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191.77102466144095</v>
      </c>
      <c r="T74" s="59">
        <f t="shared" si="88"/>
        <v>205.57161411620217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2.7581303054898365</v>
      </c>
      <c r="AA74" s="21">
        <f>EXP(-LN(2)/25)*AA73+(1-EXP(-LN(2)/25))/(LN(2)/25)*Calculateur!V74*Calculateur!X74*VLOOKUP('Données projet'!$B$9,Paramètres!$A$1:$I$89,3,0)*0.475*44/12</f>
        <v>3.9564434054897162</v>
      </c>
      <c r="AB74" s="21">
        <f>EXP(-LN(2)/2)*AB73+(1-EXP(-LN(2)/2))/(LN(2)/2)*V74*Y74*VLOOKUP('Données projet'!$B$9,Paramètres!$A$1:$I$89,3,0)*0.475*44/12</f>
        <v>3.6723003444325572E-6</v>
      </c>
      <c r="AC74" s="22">
        <f t="shared" si="57"/>
        <v>6.7145773832798969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7.2</v>
      </c>
      <c r="AI74" s="13">
        <f>IF('Données projet'!$A$62&gt;35,AI73+AH74-AQ73,IF(A74&lt;'Données projet'!$A$62,$AF$205^A74,IF(A74='Données projet'!$A$62,'Données projet'!$B$62,AI73+AH74-AQ73)))</f>
        <v>385.19999999999965</v>
      </c>
      <c r="AJ74" s="13">
        <f>AI74*VLOOKUP('Données projet'!$B$10,Paramètres!$A$1:$I$89,3,0)*VLOOKUP('Données projet'!$B$10,Paramètres!$A$1:$I$89,5,0)</f>
        <v>230.34959999999978</v>
      </c>
      <c r="AK74" s="13">
        <f t="shared" si="89"/>
        <v>56.358266541426261</v>
      </c>
      <c r="AL74" s="20">
        <f t="shared" si="58"/>
        <v>499.34953422631702</v>
      </c>
      <c r="AM74" s="59">
        <f t="shared" si="59"/>
        <v>792.68286755965028</v>
      </c>
      <c r="AN74" s="59">
        <f ca="1">AVERAGE(OFFSET($AM$3,0,0,'Données projet'!$E$10+1,1))-AVERAGE(OFFSET($H$3,0,0,'Données projet'!$E$10+1,1))</f>
        <v>247.30892363953825</v>
      </c>
      <c r="AO74" s="59">
        <f t="shared" si="90"/>
        <v>248.38414731596578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2.2188858063730481</v>
      </c>
      <c r="AV74" s="21">
        <f>EXP(-LN(2)/25)*AV73+(1-EXP(-LN(2)/25))/(LN(2)/25)*Calculateur!AQ74*Calculateur!AS74*VLOOKUP('Données projet'!$B$10,Paramètres!$A$1:$I$89,3,0)*0.475*44/12</f>
        <v>3.3241542544618308</v>
      </c>
      <c r="AW74" s="21">
        <f>EXP(-LN(2)/2)*AW73+(1-EXP(-LN(2)/2))/(LN(2)/2)*AQ74*AT74*VLOOKUP('Données projet'!$B$10,Paramètres!$A$1:$I$89,3,0)*0.475*44/12</f>
        <v>1.2805787505112043E-5</v>
      </c>
      <c r="AX74" s="21">
        <f t="shared" si="60"/>
        <v>5.5430528666223839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14.1</v>
      </c>
      <c r="BD74" s="12">
        <f>IF('Données projet'!$A$88&gt;35,BD73+BC74-BL73,IF(A74&lt;'Données projet'!$A$88,$BA$205^A74,IF(A74='Données projet'!$A$88,'Données projet'!$B$88,BD73+BC74-BL73)))</f>
        <v>620.09999999999957</v>
      </c>
      <c r="BE74" s="13">
        <f>BD74*VLOOKUP('Données projet'!$B$11,Paramètres!$A$1:$I$89,3,0)*VLOOKUP('Données projet'!$B$11,Paramètres!$A$1:$I$89,5,0)</f>
        <v>249.90029999999982</v>
      </c>
      <c r="BF74" s="13">
        <f t="shared" si="91"/>
        <v>60.564591102301513</v>
      </c>
      <c r="BG74" s="20">
        <f t="shared" si="61"/>
        <v>540.72635200317484</v>
      </c>
      <c r="BH74" s="59">
        <f t="shared" si="62"/>
        <v>834.05968533650821</v>
      </c>
      <c r="BI74" s="59">
        <f ca="1">AVERAGE(OFFSET($BH$3,0,0,'Données projet'!$E$11+1,1))-AVERAGE(OFFSET($H$3,0,0,'Données projet'!$E$11+1,1))</f>
        <v>265.97106059040101</v>
      </c>
      <c r="BJ74" s="59">
        <f t="shared" si="92"/>
        <v>240.18718869578237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2.5586861931461189</v>
      </c>
      <c r="BQ74" s="21">
        <f>EXP(-LN(2)/25)*BQ73+(1-EXP(-LN(2)/25))/(LN(2)/25)*Calculateur!BL74*Calculateur!BN74*VLOOKUP('Données projet'!$B$11,Paramètres!$A$1:$I$89,3,0)*0.475*44/12</f>
        <v>3.683660592483319</v>
      </c>
      <c r="BR74" s="21">
        <f>EXP(-LN(2)/2)*BR73+(1-EXP(-LN(2)/2))/(LN(2)/2)*BL74*BO74*VLOOKUP('Données projet'!$B$11,Paramètres!$A$1:$I$89,3,0)*0.475*44/12</f>
        <v>1.206178939660382E-5</v>
      </c>
      <c r="BS74" s="22">
        <f t="shared" si="63"/>
        <v>6.242358847418835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7.2</v>
      </c>
      <c r="BY74" s="12">
        <f>IF('Données projet'!$A$114&gt;35,BY73+BX74-CG73,IF(A74&lt;'Données projet'!$A$114,$BV$205^A74,IF(A74='Données projet'!$A$114,'Données projet'!$B$114,BY73+BX74-CG73)))</f>
        <v>385.19999999999965</v>
      </c>
      <c r="BZ74" s="13">
        <f>BY74*VLOOKUP('Données projet'!$B$12,Paramètres!$A$1:$I$89,3,0)*VLOOKUP('Données projet'!$B$12,Paramètres!$A$1:$I$89,5,0)</f>
        <v>230.34959999999978</v>
      </c>
      <c r="CA74" s="13">
        <f t="shared" si="93"/>
        <v>56.358266541426261</v>
      </c>
      <c r="CB74" s="20">
        <f t="shared" si="64"/>
        <v>499.34953422631702</v>
      </c>
      <c r="CC74" s="59">
        <f t="shared" si="65"/>
        <v>792.68286755965028</v>
      </c>
      <c r="CD74" s="59">
        <f ca="1">AVERAGE(OFFSET($CC$3,0,0,'Données projet'!$E$12+1,1))-AVERAGE(OFFSET($H$3,0,0,'Données projet'!$E$12+1,1))</f>
        <v>247.30892363953825</v>
      </c>
      <c r="CE74" s="59">
        <f t="shared" si="94"/>
        <v>248.38414731596578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2.2188858063730481</v>
      </c>
      <c r="CL74" s="21">
        <f>EXP(-LN(2)/25)*CL73+(1-EXP(-LN(2)/25))/(LN(2)/25)*Calculateur!CG74*Calculateur!CI74*VLOOKUP('Données projet'!$B$12,Paramètres!$A$1:$I$89,3,0)*0.475*44/12</f>
        <v>3.3241542544618308</v>
      </c>
      <c r="CM74" s="21">
        <f>EXP(-LN(2)/2)*CM73+(1-EXP(-LN(2)/2))/(LN(2)/2)*CG74*CJ74*VLOOKUP('Données projet'!$B$12,Paramètres!$A$1:$I$89,3,0)*0.475*44/12</f>
        <v>1.2805787505112043E-5</v>
      </c>
      <c r="CN74" s="22">
        <f t="shared" si="66"/>
        <v>5.5430528666223839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191.77102466144095</v>
      </c>
      <c r="T75" s="59">
        <f t="shared" si="88"/>
        <v>205.57161411620217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2.7040450524925546</v>
      </c>
      <c r="AA75" s="21">
        <f>EXP(-LN(2)/25)*AA74+(1-EXP(-LN(2)/25))/(LN(2)/25)*Calculateur!V75*Calculateur!X75*VLOOKUP('Données projet'!$B$9,Paramètres!$A$1:$I$89,3,0)*0.475*44/12</f>
        <v>3.8482542525062837</v>
      </c>
      <c r="AB75" s="21">
        <f>EXP(-LN(2)/2)*AB74+(1-EXP(-LN(2)/2))/(LN(2)/2)*V75*Y75*VLOOKUP('Données projet'!$B$9,Paramètres!$A$1:$I$89,3,0)*0.475*44/12</f>
        <v>2.5967084761019555E-6</v>
      </c>
      <c r="AC75" s="22">
        <f t="shared" si="57"/>
        <v>6.5523019017073141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7.2</v>
      </c>
      <c r="AI75" s="13">
        <f>IF('Données projet'!$A$62&gt;35,AI74+AH75-AQ74,IF(A75&lt;'Données projet'!$A$62,$AF$205^A75,IF(A75='Données projet'!$A$62,'Données projet'!$B$62,AI74+AH75-AQ74)))</f>
        <v>392.39999999999964</v>
      </c>
      <c r="AJ75" s="13">
        <f>AI75*VLOOKUP('Données projet'!$B$10,Paramètres!$A$1:$I$89,3,0)*VLOOKUP('Données projet'!$B$10,Paramètres!$A$1:$I$89,5,0)</f>
        <v>234.65519999999981</v>
      </c>
      <c r="AK75" s="13">
        <f t="shared" si="89"/>
        <v>57.288067746850942</v>
      </c>
      <c r="AL75" s="20">
        <f t="shared" si="58"/>
        <v>508.46785799243179</v>
      </c>
      <c r="AM75" s="59">
        <f t="shared" si="59"/>
        <v>801.8011913257651</v>
      </c>
      <c r="AN75" s="59">
        <f ca="1">AVERAGE(OFFSET($AM$3,0,0,'Données projet'!$E$10+1,1))-AVERAGE(OFFSET($H$3,0,0,'Données projet'!$E$10+1,1))</f>
        <v>247.30892363953825</v>
      </c>
      <c r="AO75" s="59">
        <f t="shared" si="90"/>
        <v>248.38414731596578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2.1753748090967786</v>
      </c>
      <c r="AV75" s="21">
        <f>EXP(-LN(2)/25)*AV74+(1-EXP(-LN(2)/25))/(LN(2)/25)*Calculateur!AQ75*Calculateur!AS75*VLOOKUP('Données projet'!$B$10,Paramètres!$A$1:$I$89,3,0)*0.475*44/12</f>
        <v>3.2332550815638972</v>
      </c>
      <c r="AW75" s="21">
        <f>EXP(-LN(2)/2)*AW74+(1-EXP(-LN(2)/2))/(LN(2)/2)*AQ75*AT75*VLOOKUP('Données projet'!$B$10,Paramètres!$A$1:$I$89,3,0)*0.475*44/12</f>
        <v>9.0550591832986856E-6</v>
      </c>
      <c r="AX75" s="21">
        <f t="shared" si="60"/>
        <v>5.4086389457198587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14.1</v>
      </c>
      <c r="BD75" s="12">
        <f>IF('Données projet'!$A$88&gt;35,BD74+BC75-BL74,IF(A75&lt;'Données projet'!$A$88,$BA$205^A75,IF(A75='Données projet'!$A$88,'Données projet'!$B$88,BD74+BC75-BL74)))</f>
        <v>634.19999999999959</v>
      </c>
      <c r="BE75" s="13">
        <f>BD75*VLOOKUP('Données projet'!$B$11,Paramètres!$A$1:$I$89,3,0)*VLOOKUP('Données projet'!$B$11,Paramètres!$A$1:$I$89,5,0)</f>
        <v>255.58259999999984</v>
      </c>
      <c r="BF75" s="13">
        <f t="shared" si="91"/>
        <v>61.779829764971893</v>
      </c>
      <c r="BG75" s="20">
        <f t="shared" si="61"/>
        <v>552.73956517399245</v>
      </c>
      <c r="BH75" s="59">
        <f t="shared" si="62"/>
        <v>846.07289850732582</v>
      </c>
      <c r="BI75" s="59">
        <f ca="1">AVERAGE(OFFSET($BH$3,0,0,'Données projet'!$E$11+1,1))-AVERAGE(OFFSET($H$3,0,0,'Données projet'!$E$11+1,1))</f>
        <v>265.97106059040101</v>
      </c>
      <c r="BJ75" s="59">
        <f t="shared" si="92"/>
        <v>240.18718869578237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2.5085119175430006</v>
      </c>
      <c r="BQ75" s="21">
        <f>EXP(-LN(2)/25)*BQ74+(1-EXP(-LN(2)/25))/(LN(2)/25)*Calculateur!BL75*Calculateur!BN75*VLOOKUP('Données projet'!$B$11,Paramètres!$A$1:$I$89,3,0)*0.475*44/12</f>
        <v>3.5829306998665711</v>
      </c>
      <c r="BR75" s="21">
        <f>EXP(-LN(2)/2)*BR74+(1-EXP(-LN(2)/2))/(LN(2)/2)*BL75*BO75*VLOOKUP('Données projet'!$B$11,Paramètres!$A$1:$I$89,3,0)*0.475*44/12</f>
        <v>8.5289730755825561E-6</v>
      </c>
      <c r="BS75" s="22">
        <f t="shared" si="63"/>
        <v>6.0914511463826466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7.2</v>
      </c>
      <c r="BY75" s="12">
        <f>IF('Données projet'!$A$114&gt;35,BY74+BX75-CG74,IF(A75&lt;'Données projet'!$A$114,$BV$205^A75,IF(A75='Données projet'!$A$114,'Données projet'!$B$114,BY74+BX75-CG74)))</f>
        <v>392.39999999999964</v>
      </c>
      <c r="BZ75" s="13">
        <f>BY75*VLOOKUP('Données projet'!$B$12,Paramètres!$A$1:$I$89,3,0)*VLOOKUP('Données projet'!$B$12,Paramètres!$A$1:$I$89,5,0)</f>
        <v>234.65519999999981</v>
      </c>
      <c r="CA75" s="13">
        <f t="shared" si="93"/>
        <v>57.288067746850942</v>
      </c>
      <c r="CB75" s="20">
        <f t="shared" si="64"/>
        <v>508.46785799243179</v>
      </c>
      <c r="CC75" s="59">
        <f t="shared" si="65"/>
        <v>801.8011913257651</v>
      </c>
      <c r="CD75" s="59">
        <f ca="1">AVERAGE(OFFSET($CC$3,0,0,'Données projet'!$E$12+1,1))-AVERAGE(OFFSET($H$3,0,0,'Données projet'!$E$12+1,1))</f>
        <v>247.30892363953825</v>
      </c>
      <c r="CE75" s="59">
        <f t="shared" si="94"/>
        <v>248.38414731596578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2.1753748090967786</v>
      </c>
      <c r="CL75" s="21">
        <f>EXP(-LN(2)/25)*CL74+(1-EXP(-LN(2)/25))/(LN(2)/25)*Calculateur!CG75*Calculateur!CI75*VLOOKUP('Données projet'!$B$12,Paramètres!$A$1:$I$89,3,0)*0.475*44/12</f>
        <v>3.2332550815638972</v>
      </c>
      <c r="CM75" s="21">
        <f>EXP(-LN(2)/2)*CM74+(1-EXP(-LN(2)/2))/(LN(2)/2)*CG75*CJ75*VLOOKUP('Données projet'!$B$12,Paramètres!$A$1:$I$89,3,0)*0.475*44/12</f>
        <v>9.0550591832986856E-6</v>
      </c>
      <c r="CN75" s="22">
        <f t="shared" si="66"/>
        <v>5.4086389457198587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191.77102466144095</v>
      </c>
      <c r="T76" s="59">
        <f t="shared" si="88"/>
        <v>205.57161411620217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2.6510203783178024</v>
      </c>
      <c r="AA76" s="21">
        <f>EXP(-LN(2)/25)*AA75+(1-EXP(-LN(2)/25))/(LN(2)/25)*Calculateur!V76*Calculateur!X76*VLOOKUP('Données projet'!$B$9,Paramètres!$A$1:$I$89,3,0)*0.475*44/12</f>
        <v>3.7430235376006036</v>
      </c>
      <c r="AB76" s="21">
        <f>EXP(-LN(2)/2)*AB75+(1-EXP(-LN(2)/2))/(LN(2)/2)*V76*Y76*VLOOKUP('Données projet'!$B$9,Paramètres!$A$1:$I$89,3,0)*0.475*44/12</f>
        <v>1.8361501722162788E-6</v>
      </c>
      <c r="AC76" s="22">
        <f t="shared" si="57"/>
        <v>6.3940457520685783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7.2</v>
      </c>
      <c r="AI76" s="13">
        <f>IF('Données projet'!$A$62&gt;35,AI75+AH76-AQ75,IF(A76&lt;'Données projet'!$A$62,$AF$205^A76,IF(A76='Données projet'!$A$62,'Données projet'!$B$62,AI75+AH76-AQ75)))</f>
        <v>399.59999999999962</v>
      </c>
      <c r="AJ76" s="13">
        <f>AI76*VLOOKUP('Données projet'!$B$10,Paramètres!$A$1:$I$89,3,0)*VLOOKUP('Données projet'!$B$10,Paramètres!$A$1:$I$89,5,0)</f>
        <v>238.96079999999978</v>
      </c>
      <c r="AK76" s="13">
        <f t="shared" si="89"/>
        <v>58.215885103108292</v>
      </c>
      <c r="AL76" s="20">
        <f t="shared" si="58"/>
        <v>517.58272655457984</v>
      </c>
      <c r="AM76" s="59">
        <f t="shared" si="59"/>
        <v>810.91605988791321</v>
      </c>
      <c r="AN76" s="59">
        <f ca="1">AVERAGE(OFFSET($AM$3,0,0,'Données projet'!$E$10+1,1))-AVERAGE(OFFSET($H$3,0,0,'Données projet'!$E$10+1,1))</f>
        <v>247.30892363953825</v>
      </c>
      <c r="AO76" s="59">
        <f t="shared" si="90"/>
        <v>248.38414731596578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2.132717035938009</v>
      </c>
      <c r="AV76" s="21">
        <f>EXP(-LN(2)/25)*AV75+(1-EXP(-LN(2)/25))/(LN(2)/25)*Calculateur!AQ76*Calculateur!AS76*VLOOKUP('Données projet'!$B$10,Paramètres!$A$1:$I$89,3,0)*0.475*44/12</f>
        <v>3.1448415513290375</v>
      </c>
      <c r="AW76" s="21">
        <f>EXP(-LN(2)/2)*AW75+(1-EXP(-LN(2)/2))/(LN(2)/2)*AQ76*AT76*VLOOKUP('Données projet'!$B$10,Paramètres!$A$1:$I$89,3,0)*0.475*44/12</f>
        <v>6.4028937525560216E-6</v>
      </c>
      <c r="AX76" s="21">
        <f t="shared" si="60"/>
        <v>5.2775649901607995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14.1</v>
      </c>
      <c r="BD76" s="12">
        <f>IF('Données projet'!$A$88&gt;35,BD75+BC76-BL75,IF(A76&lt;'Données projet'!$A$88,$BA$205^A76,IF(A76='Données projet'!$A$88,'Données projet'!$B$88,BD75+BC76-BL75)))</f>
        <v>648.29999999999961</v>
      </c>
      <c r="BE76" s="13">
        <f>BD76*VLOOKUP('Données projet'!$B$11,Paramètres!$A$1:$I$89,3,0)*VLOOKUP('Données projet'!$B$11,Paramètres!$A$1:$I$89,5,0)</f>
        <v>261.26489999999984</v>
      </c>
      <c r="BF76" s="13">
        <f t="shared" si="91"/>
        <v>62.991927315663084</v>
      </c>
      <c r="BG76" s="20">
        <f t="shared" si="61"/>
        <v>564.74730757477948</v>
      </c>
      <c r="BH76" s="59">
        <f t="shared" si="62"/>
        <v>858.08064090811285</v>
      </c>
      <c r="BI76" s="59">
        <f ca="1">AVERAGE(OFFSET($BH$3,0,0,'Données projet'!$E$11+1,1))-AVERAGE(OFFSET($H$3,0,0,'Données projet'!$E$11+1,1))</f>
        <v>265.97106059040101</v>
      </c>
      <c r="BJ76" s="59">
        <f t="shared" si="92"/>
        <v>240.18718869578237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2.4593215288811732</v>
      </c>
      <c r="BQ76" s="21">
        <f>EXP(-LN(2)/25)*BQ75+(1-EXP(-LN(2)/25))/(LN(2)/25)*Calculateur!BL76*Calculateur!BN76*VLOOKUP('Données projet'!$B$11,Paramètres!$A$1:$I$89,3,0)*0.475*44/12</f>
        <v>3.4849552714605831</v>
      </c>
      <c r="BR76" s="21">
        <f>EXP(-LN(2)/2)*BR75+(1-EXP(-LN(2)/2))/(LN(2)/2)*BL76*BO76*VLOOKUP('Données projet'!$B$11,Paramètres!$A$1:$I$89,3,0)*0.475*44/12</f>
        <v>6.0308946983019098E-6</v>
      </c>
      <c r="BS76" s="22">
        <f t="shared" si="63"/>
        <v>5.9442828312364542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7.2</v>
      </c>
      <c r="BY76" s="12">
        <f>IF('Données projet'!$A$114&gt;35,BY75+BX76-CG75,IF(A76&lt;'Données projet'!$A$114,$BV$205^A76,IF(A76='Données projet'!$A$114,'Données projet'!$B$114,BY75+BX76-CG75)))</f>
        <v>399.59999999999962</v>
      </c>
      <c r="BZ76" s="13">
        <f>BY76*VLOOKUP('Données projet'!$B$12,Paramètres!$A$1:$I$89,3,0)*VLOOKUP('Données projet'!$B$12,Paramètres!$A$1:$I$89,5,0)</f>
        <v>238.96079999999978</v>
      </c>
      <c r="CA76" s="13">
        <f t="shared" si="93"/>
        <v>58.215885103108292</v>
      </c>
      <c r="CB76" s="20">
        <f t="shared" si="64"/>
        <v>517.58272655457984</v>
      </c>
      <c r="CC76" s="59">
        <f t="shared" si="65"/>
        <v>810.91605988791321</v>
      </c>
      <c r="CD76" s="59">
        <f ca="1">AVERAGE(OFFSET($CC$3,0,0,'Données projet'!$E$12+1,1))-AVERAGE(OFFSET($H$3,0,0,'Données projet'!$E$12+1,1))</f>
        <v>247.30892363953825</v>
      </c>
      <c r="CE76" s="59">
        <f t="shared" si="94"/>
        <v>248.38414731596578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2.132717035938009</v>
      </c>
      <c r="CL76" s="21">
        <f>EXP(-LN(2)/25)*CL75+(1-EXP(-LN(2)/25))/(LN(2)/25)*Calculateur!CG76*Calculateur!CI76*VLOOKUP('Données projet'!$B$12,Paramètres!$A$1:$I$89,3,0)*0.475*44/12</f>
        <v>3.1448415513290375</v>
      </c>
      <c r="CM76" s="21">
        <f>EXP(-LN(2)/2)*CM75+(1-EXP(-LN(2)/2))/(LN(2)/2)*CG76*CJ76*VLOOKUP('Données projet'!$B$12,Paramètres!$A$1:$I$89,3,0)*0.475*44/12</f>
        <v>6.4028937525560216E-6</v>
      </c>
      <c r="CN76" s="22">
        <f t="shared" si="66"/>
        <v>5.2775649901607995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191.77102466144095</v>
      </c>
      <c r="T77" s="59">
        <f t="shared" si="88"/>
        <v>205.57161411620217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2.599035485661759</v>
      </c>
      <c r="AA77" s="21">
        <f>EXP(-LN(2)/25)*AA76+(1-EXP(-LN(2)/25))/(LN(2)/25)*Calculateur!V77*Calculateur!X77*VLOOKUP('Données projet'!$B$9,Paramètres!$A$1:$I$89,3,0)*0.475*44/12</f>
        <v>3.640670362127862</v>
      </c>
      <c r="AB77" s="21">
        <f>EXP(-LN(2)/2)*AB76+(1-EXP(-LN(2)/2))/(LN(2)/2)*V77*Y77*VLOOKUP('Données projet'!$B$9,Paramètres!$A$1:$I$89,3,0)*0.475*44/12</f>
        <v>1.298354238050978E-6</v>
      </c>
      <c r="AC77" s="22">
        <f t="shared" si="57"/>
        <v>6.2397071461438589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7.2</v>
      </c>
      <c r="AI77" s="13">
        <f>IF('Données projet'!$A$62&gt;35,AI76+AH77-AQ76,IF(A77&lt;'Données projet'!$A$62,$AF$205^A77,IF(A77='Données projet'!$A$62,'Données projet'!$B$62,AI76+AH77-AQ76)))</f>
        <v>406.79999999999961</v>
      </c>
      <c r="AJ77" s="13">
        <f>AI77*VLOOKUP('Données projet'!$B$10,Paramètres!$A$1:$I$89,3,0)*VLOOKUP('Données projet'!$B$10,Paramètres!$A$1:$I$89,5,0)</f>
        <v>243.26639999999981</v>
      </c>
      <c r="AK77" s="13">
        <f t="shared" si="89"/>
        <v>59.141758478481755</v>
      </c>
      <c r="AL77" s="20">
        <f t="shared" si="58"/>
        <v>526.69420935002211</v>
      </c>
      <c r="AM77" s="59">
        <f t="shared" si="59"/>
        <v>820.02754268335548</v>
      </c>
      <c r="AN77" s="59">
        <f ca="1">AVERAGE(OFFSET($AM$3,0,0,'Données projet'!$E$10+1,1))-AVERAGE(OFFSET($H$3,0,0,'Données projet'!$E$10+1,1))</f>
        <v>247.30892363953825</v>
      </c>
      <c r="AO77" s="59">
        <f t="shared" si="90"/>
        <v>248.38414731596578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2.0908957556922103</v>
      </c>
      <c r="AV77" s="21">
        <f>EXP(-LN(2)/25)*AV76+(1-EXP(-LN(2)/25))/(LN(2)/25)*Calculateur!AQ77*Calculateur!AS77*VLOOKUP('Données projet'!$B$10,Paramètres!$A$1:$I$89,3,0)*0.475*44/12</f>
        <v>3.0588456937279154</v>
      </c>
      <c r="AW77" s="21">
        <f>EXP(-LN(2)/2)*AW76+(1-EXP(-LN(2)/2))/(LN(2)/2)*AQ77*AT77*VLOOKUP('Données projet'!$B$10,Paramètres!$A$1:$I$89,3,0)*0.475*44/12</f>
        <v>4.5275295916493428E-6</v>
      </c>
      <c r="AX77" s="21">
        <f t="shared" si="60"/>
        <v>5.1497459769497169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14.1</v>
      </c>
      <c r="BD77" s="12">
        <f>IF('Données projet'!$A$88&gt;35,BD76+BC77-BL76,IF(A77&lt;'Données projet'!$A$88,$BA$205^A77,IF(A77='Données projet'!$A$88,'Données projet'!$B$88,BD76+BC77-BL76)))</f>
        <v>662.39999999999964</v>
      </c>
      <c r="BE77" s="13">
        <f>BD77*VLOOKUP('Données projet'!$B$11,Paramètres!$A$1:$I$89,3,0)*VLOOKUP('Données projet'!$B$11,Paramètres!$A$1:$I$89,5,0)</f>
        <v>266.94719999999984</v>
      </c>
      <c r="BF77" s="13">
        <f t="shared" si="91"/>
        <v>64.200959938746379</v>
      </c>
      <c r="BG77" s="20">
        <f t="shared" si="61"/>
        <v>576.74971189331632</v>
      </c>
      <c r="BH77" s="59">
        <f t="shared" si="62"/>
        <v>870.08304522664957</v>
      </c>
      <c r="BI77" s="59">
        <f ca="1">AVERAGE(OFFSET($BH$3,0,0,'Données projet'!$E$11+1,1))-AVERAGE(OFFSET($H$3,0,0,'Données projet'!$E$11+1,1))</f>
        <v>265.97106059040101</v>
      </c>
      <c r="BJ77" s="59">
        <f t="shared" si="92"/>
        <v>240.18718869578237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2.4110957337378296</v>
      </c>
      <c r="BQ77" s="21">
        <f>EXP(-LN(2)/25)*BQ76+(1-EXP(-LN(2)/25))/(LN(2)/25)*Calculateur!BL77*Calculateur!BN77*VLOOKUP('Données projet'!$B$11,Paramètres!$A$1:$I$89,3,0)*0.475*44/12</f>
        <v>3.3896589862966606</v>
      </c>
      <c r="BR77" s="21">
        <f>EXP(-LN(2)/2)*BR76+(1-EXP(-LN(2)/2))/(LN(2)/2)*BL77*BO77*VLOOKUP('Données projet'!$B$11,Paramètres!$A$1:$I$89,3,0)*0.475*44/12</f>
        <v>4.264486537791278E-6</v>
      </c>
      <c r="BS77" s="22">
        <f t="shared" si="63"/>
        <v>5.8007589845210283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7.2</v>
      </c>
      <c r="BY77" s="12">
        <f>IF('Données projet'!$A$114&gt;35,BY76+BX77-CG76,IF(A77&lt;'Données projet'!$A$114,$BV$205^A77,IF(A77='Données projet'!$A$114,'Données projet'!$B$114,BY76+BX77-CG76)))</f>
        <v>406.79999999999961</v>
      </c>
      <c r="BZ77" s="13">
        <f>BY77*VLOOKUP('Données projet'!$B$12,Paramètres!$A$1:$I$89,3,0)*VLOOKUP('Données projet'!$B$12,Paramètres!$A$1:$I$89,5,0)</f>
        <v>243.26639999999981</v>
      </c>
      <c r="CA77" s="13">
        <f t="shared" si="93"/>
        <v>59.141758478481755</v>
      </c>
      <c r="CB77" s="20">
        <f t="shared" si="64"/>
        <v>526.69420935002211</v>
      </c>
      <c r="CC77" s="59">
        <f t="shared" si="65"/>
        <v>820.02754268335548</v>
      </c>
      <c r="CD77" s="59">
        <f ca="1">AVERAGE(OFFSET($CC$3,0,0,'Données projet'!$E$12+1,1))-AVERAGE(OFFSET($H$3,0,0,'Données projet'!$E$12+1,1))</f>
        <v>247.30892363953825</v>
      </c>
      <c r="CE77" s="59">
        <f t="shared" si="94"/>
        <v>248.38414731596578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2.0908957556922103</v>
      </c>
      <c r="CL77" s="21">
        <f>EXP(-LN(2)/25)*CL76+(1-EXP(-LN(2)/25))/(LN(2)/25)*Calculateur!CG77*Calculateur!CI77*VLOOKUP('Données projet'!$B$12,Paramètres!$A$1:$I$89,3,0)*0.475*44/12</f>
        <v>3.0588456937279154</v>
      </c>
      <c r="CM77" s="21">
        <f>EXP(-LN(2)/2)*CM76+(1-EXP(-LN(2)/2))/(LN(2)/2)*CG77*CJ77*VLOOKUP('Données projet'!$B$12,Paramètres!$A$1:$I$89,3,0)*0.475*44/12</f>
        <v>4.5275295916493428E-6</v>
      </c>
      <c r="CN77" s="22">
        <f t="shared" si="66"/>
        <v>5.1497459769497169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191.77102466144095</v>
      </c>
      <c r="T78" s="59">
        <f t="shared" si="88"/>
        <v>205.57161411620217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2.548069985043047</v>
      </c>
      <c r="AA78" s="21">
        <f>EXP(-LN(2)/25)*AA77+(1-EXP(-LN(2)/25))/(LN(2)/25)*Calculateur!V78*Calculateur!X78*VLOOKUP('Données projet'!$B$9,Paramètres!$A$1:$I$89,3,0)*0.475*44/12</f>
        <v>3.5411160396209422</v>
      </c>
      <c r="AB78" s="21">
        <f>EXP(-LN(2)/2)*AB77+(1-EXP(-LN(2)/2))/(LN(2)/2)*V78*Y78*VLOOKUP('Données projet'!$B$9,Paramètres!$A$1:$I$89,3,0)*0.475*44/12</f>
        <v>9.1807508610813963E-7</v>
      </c>
      <c r="AC78" s="22">
        <f t="shared" si="57"/>
        <v>6.0891869427390759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7.2</v>
      </c>
      <c r="AI78" s="13">
        <f>IF('Données projet'!$A$62&gt;35,AI77+AH78-AQ77,IF(A78&lt;'Données projet'!$A$62,$AF$205^A78,IF(A78='Données projet'!$A$62,'Données projet'!$B$62,AI77+AH78-AQ77)))</f>
        <v>413.9999999999996</v>
      </c>
      <c r="AJ78" s="13">
        <f>AI78*VLOOKUP('Données projet'!$B$10,Paramètres!$A$1:$I$89,3,0)*VLOOKUP('Données projet'!$B$10,Paramètres!$A$1:$I$89,5,0)</f>
        <v>247.57199999999978</v>
      </c>
      <c r="AK78" s="13">
        <f t="shared" si="89"/>
        <v>60.065726249156526</v>
      </c>
      <c r="AL78" s="20">
        <f t="shared" si="58"/>
        <v>535.80237321728055</v>
      </c>
      <c r="AM78" s="59">
        <f t="shared" si="59"/>
        <v>829.1357065506138</v>
      </c>
      <c r="AN78" s="59">
        <f ca="1">AVERAGE(OFFSET($AM$3,0,0,'Données projet'!$E$10+1,1))-AVERAGE(OFFSET($H$3,0,0,'Données projet'!$E$10+1,1))</f>
        <v>247.30892363953825</v>
      </c>
      <c r="AO78" s="59">
        <f t="shared" si="90"/>
        <v>248.38414731596578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2.0498945652435694</v>
      </c>
      <c r="AV78" s="21">
        <f>EXP(-LN(2)/25)*AV77+(1-EXP(-LN(2)/25))/(LN(2)/25)*Calculateur!AQ78*Calculateur!AS78*VLOOKUP('Données projet'!$B$10,Paramètres!$A$1:$I$89,3,0)*0.475*44/12</f>
        <v>2.9752013973752214</v>
      </c>
      <c r="AW78" s="21">
        <f>EXP(-LN(2)/2)*AW77+(1-EXP(-LN(2)/2))/(LN(2)/2)*AQ78*AT78*VLOOKUP('Données projet'!$B$10,Paramètres!$A$1:$I$89,3,0)*0.475*44/12</f>
        <v>3.2014468762780108E-6</v>
      </c>
      <c r="AX78" s="21">
        <f t="shared" si="60"/>
        <v>5.0250991640656668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14.1</v>
      </c>
      <c r="BD78" s="12">
        <f>IF('Données projet'!$A$88&gt;35,BD77+BC78-BL77,IF(A78&lt;'Données projet'!$A$88,$BA$205^A78,IF(A78='Données projet'!$A$88,'Données projet'!$B$88,BD77+BC78-BL77)))</f>
        <v>676.49999999999966</v>
      </c>
      <c r="BE78" s="13">
        <f>BD78*VLOOKUP('Données projet'!$B$11,Paramètres!$A$1:$I$89,3,0)*VLOOKUP('Données projet'!$B$11,Paramètres!$A$1:$I$89,5,0)</f>
        <v>272.62949999999989</v>
      </c>
      <c r="BF78" s="13">
        <f t="shared" si="91"/>
        <v>65.407000389943974</v>
      </c>
      <c r="BG78" s="20">
        <f t="shared" si="61"/>
        <v>588.7469048458189</v>
      </c>
      <c r="BH78" s="59">
        <f t="shared" si="62"/>
        <v>882.08023817915227</v>
      </c>
      <c r="BI78" s="59">
        <f ca="1">AVERAGE(OFFSET($BH$3,0,0,'Données projet'!$E$11+1,1))-AVERAGE(OFFSET($H$3,0,0,'Données projet'!$E$11+1,1))</f>
        <v>265.97106059040101</v>
      </c>
      <c r="BJ78" s="59">
        <f t="shared" si="92"/>
        <v>240.18718869578237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2.3638156170224165</v>
      </c>
      <c r="BQ78" s="21">
        <f>EXP(-LN(2)/25)*BQ77+(1-EXP(-LN(2)/25))/(LN(2)/25)*Calculateur!BL78*Calculateur!BN78*VLOOKUP('Données projet'!$B$11,Paramètres!$A$1:$I$89,3,0)*0.475*44/12</f>
        <v>3.2969685830619597</v>
      </c>
      <c r="BR78" s="21">
        <f>EXP(-LN(2)/2)*BR77+(1-EXP(-LN(2)/2))/(LN(2)/2)*BL78*BO78*VLOOKUP('Données projet'!$B$11,Paramètres!$A$1:$I$89,3,0)*0.475*44/12</f>
        <v>3.0154473491509549E-6</v>
      </c>
      <c r="BS78" s="22">
        <f t="shared" si="63"/>
        <v>5.6607872155317249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7.2</v>
      </c>
      <c r="BY78" s="12">
        <f>IF('Données projet'!$A$114&gt;35,BY77+BX78-CG77,IF(A78&lt;'Données projet'!$A$114,$BV$205^A78,IF(A78='Données projet'!$A$114,'Données projet'!$B$114,BY77+BX78-CG77)))</f>
        <v>413.9999999999996</v>
      </c>
      <c r="BZ78" s="13">
        <f>BY78*VLOOKUP('Données projet'!$B$12,Paramètres!$A$1:$I$89,3,0)*VLOOKUP('Données projet'!$B$12,Paramètres!$A$1:$I$89,5,0)</f>
        <v>247.57199999999978</v>
      </c>
      <c r="CA78" s="13">
        <f t="shared" si="93"/>
        <v>60.065726249156526</v>
      </c>
      <c r="CB78" s="20">
        <f t="shared" si="64"/>
        <v>535.80237321728055</v>
      </c>
      <c r="CC78" s="59">
        <f t="shared" si="65"/>
        <v>829.1357065506138</v>
      </c>
      <c r="CD78" s="59">
        <f ca="1">AVERAGE(OFFSET($CC$3,0,0,'Données projet'!$E$12+1,1))-AVERAGE(OFFSET($H$3,0,0,'Données projet'!$E$12+1,1))</f>
        <v>247.30892363953825</v>
      </c>
      <c r="CE78" s="59">
        <f t="shared" si="94"/>
        <v>248.38414731596578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2.0498945652435694</v>
      </c>
      <c r="CL78" s="21">
        <f>EXP(-LN(2)/25)*CL77+(1-EXP(-LN(2)/25))/(LN(2)/25)*Calculateur!CG78*Calculateur!CI78*VLOOKUP('Données projet'!$B$12,Paramètres!$A$1:$I$89,3,0)*0.475*44/12</f>
        <v>2.9752013973752214</v>
      </c>
      <c r="CM78" s="21">
        <f>EXP(-LN(2)/2)*CM77+(1-EXP(-LN(2)/2))/(LN(2)/2)*CG78*CJ78*VLOOKUP('Données projet'!$B$12,Paramètres!$A$1:$I$89,3,0)*0.475*44/12</f>
        <v>3.2014468762780108E-6</v>
      </c>
      <c r="CN78" s="22">
        <f t="shared" si="66"/>
        <v>5.0250991640656668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191.77102466144095</v>
      </c>
      <c r="T79" s="59">
        <f t="shared" si="88"/>
        <v>205.57161411620217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2.4981038868055823</v>
      </c>
      <c r="AA79" s="21">
        <f>EXP(-LN(2)/25)*AA78+(1-EXP(-LN(2)/25))/(LN(2)/25)*Calculateur!V79*Calculateur!X79*VLOOKUP('Données projet'!$B$9,Paramètres!$A$1:$I$89,3,0)*0.475*44/12</f>
        <v>3.4442840352983084</v>
      </c>
      <c r="AB79" s="21">
        <f>EXP(-LN(2)/2)*AB78+(1-EXP(-LN(2)/2))/(LN(2)/2)*V79*Y79*VLOOKUP('Données projet'!$B$9,Paramètres!$A$1:$I$89,3,0)*0.475*44/12</f>
        <v>6.491771190254891E-7</v>
      </c>
      <c r="AC79" s="22">
        <f t="shared" si="57"/>
        <v>5.9423885712810094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421.19999999999959</v>
      </c>
      <c r="AJ79" s="13">
        <f>AI79*VLOOKUP('Données projet'!$B$10,Paramètres!$A$1:$I$89,3,0)*VLOOKUP('Données projet'!$B$10,Paramètres!$A$1:$I$89,5,0)</f>
        <v>251.87759999999977</v>
      </c>
      <c r="AK79" s="13">
        <f t="shared" si="89"/>
        <v>60.987825380023018</v>
      </c>
      <c r="AL79" s="20">
        <f t="shared" si="58"/>
        <v>544.90728253687291</v>
      </c>
      <c r="AM79" s="59">
        <f t="shared" si="59"/>
        <v>838.24061587020628</v>
      </c>
      <c r="AN79" s="59">
        <f ca="1">AVERAGE(OFFSET($AM$3,0,0,'Données projet'!$E$10+1,1))-AVERAGE(OFFSET($H$3,0,0,'Données projet'!$E$10+1,1))</f>
        <v>247.30892363953825</v>
      </c>
      <c r="AO79" s="59">
        <f t="shared" si="90"/>
        <v>248.38414731596578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2.0096973831313698</v>
      </c>
      <c r="AV79" s="21">
        <f>EXP(-LN(2)/25)*AV78+(1-EXP(-LN(2)/25))/(LN(2)/25)*Calculateur!AQ79*Calculateur!AS79*VLOOKUP('Données projet'!$B$10,Paramètres!$A$1:$I$89,3,0)*0.475*44/12</f>
        <v>2.8938443587049543</v>
      </c>
      <c r="AW79" s="21">
        <f>EXP(-LN(2)/2)*AW78+(1-EXP(-LN(2)/2))/(LN(2)/2)*AQ79*AT79*VLOOKUP('Données projet'!$B$10,Paramètres!$A$1:$I$89,3,0)*0.475*44/12</f>
        <v>2.2637647958246714E-6</v>
      </c>
      <c r="AX79" s="21">
        <f t="shared" si="60"/>
        <v>4.9035440056011206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14.1</v>
      </c>
      <c r="BD79" s="12">
        <f>IF('Données projet'!$A$88&gt;35,BD78+BC79-BL78,IF(A79&lt;'Données projet'!$A$88,$BA$205^A79,IF(A79='Données projet'!$A$88,'Données projet'!$B$88,BD78+BC79-BL78)))</f>
        <v>690.59999999999968</v>
      </c>
      <c r="BE79" s="13">
        <f>BD79*VLOOKUP('Données projet'!$B$11,Paramètres!$A$1:$I$89,3,0)*VLOOKUP('Données projet'!$B$11,Paramètres!$A$1:$I$89,5,0)</f>
        <v>278.31179999999989</v>
      </c>
      <c r="BF79" s="13">
        <f t="shared" si="91"/>
        <v>66.610118218827537</v>
      </c>
      <c r="BG79" s="20">
        <f t="shared" si="61"/>
        <v>600.73900756445778</v>
      </c>
      <c r="BH79" s="59">
        <f t="shared" si="62"/>
        <v>894.07234089779104</v>
      </c>
      <c r="BI79" s="59">
        <f ca="1">AVERAGE(OFFSET($BH$3,0,0,'Données projet'!$E$11+1,1))-AVERAGE(OFFSET($H$3,0,0,'Données projet'!$E$11+1,1))</f>
        <v>265.97106059040101</v>
      </c>
      <c r="BJ79" s="59">
        <f t="shared" si="92"/>
        <v>240.18718869578237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2.3174626345577689</v>
      </c>
      <c r="BQ79" s="21">
        <f>EXP(-LN(2)/25)*BQ78+(1-EXP(-LN(2)/25))/(LN(2)/25)*Calculateur!BL79*Calculateur!BN79*VLOOKUP('Données projet'!$B$11,Paramètres!$A$1:$I$89,3,0)*0.475*44/12</f>
        <v>3.2068128037780879</v>
      </c>
      <c r="BR79" s="21">
        <f>EXP(-LN(2)/2)*BR78+(1-EXP(-LN(2)/2))/(LN(2)/2)*BL79*BO79*VLOOKUP('Données projet'!$B$11,Paramètres!$A$1:$I$89,3,0)*0.475*44/12</f>
        <v>2.132243268895639E-6</v>
      </c>
      <c r="BS79" s="22">
        <f t="shared" si="63"/>
        <v>5.5242775705791258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7.2</v>
      </c>
      <c r="BY79" s="12">
        <f>IF('Données projet'!$A$114&gt;35,BY78+BX79-CG78,IF(A79&lt;'Données projet'!$A$114,$BV$205^A79,IF(A79='Données projet'!$A$114,'Données projet'!$B$114,BY78+BX79-CG78)))</f>
        <v>421.19999999999959</v>
      </c>
      <c r="BZ79" s="13">
        <f>BY79*VLOOKUP('Données projet'!$B$12,Paramètres!$A$1:$I$89,3,0)*VLOOKUP('Données projet'!$B$12,Paramètres!$A$1:$I$89,5,0)</f>
        <v>251.87759999999977</v>
      </c>
      <c r="CA79" s="13">
        <f t="shared" si="93"/>
        <v>60.987825380023018</v>
      </c>
      <c r="CB79" s="20">
        <f t="shared" si="64"/>
        <v>544.90728253687291</v>
      </c>
      <c r="CC79" s="59">
        <f t="shared" si="65"/>
        <v>838.24061587020628</v>
      </c>
      <c r="CD79" s="59">
        <f ca="1">AVERAGE(OFFSET($CC$3,0,0,'Données projet'!$E$12+1,1))-AVERAGE(OFFSET($H$3,0,0,'Données projet'!$E$12+1,1))</f>
        <v>247.30892363953825</v>
      </c>
      <c r="CE79" s="59">
        <f t="shared" si="94"/>
        <v>248.38414731596578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2.0096973831313698</v>
      </c>
      <c r="CL79" s="21">
        <f>EXP(-LN(2)/25)*CL78+(1-EXP(-LN(2)/25))/(LN(2)/25)*Calculateur!CG79*Calculateur!CI79*VLOOKUP('Données projet'!$B$12,Paramètres!$A$1:$I$89,3,0)*0.475*44/12</f>
        <v>2.8938443587049543</v>
      </c>
      <c r="CM79" s="21">
        <f>EXP(-LN(2)/2)*CM78+(1-EXP(-LN(2)/2))/(LN(2)/2)*CG79*CJ79*VLOOKUP('Données projet'!$B$12,Paramètres!$A$1:$I$89,3,0)*0.475*44/12</f>
        <v>2.2637647958246714E-6</v>
      </c>
      <c r="CN79" s="22">
        <f t="shared" si="66"/>
        <v>4.9035440056011206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191.77102466144095</v>
      </c>
      <c r="T80" s="59">
        <f t="shared" si="88"/>
        <v>205.57161411620217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2.4491175932782436</v>
      </c>
      <c r="AA80" s="21">
        <f>EXP(-LN(2)/25)*AA79+(1-EXP(-LN(2)/25))/(LN(2)/25)*Calculateur!V80*Calculateur!X80*VLOOKUP('Données projet'!$B$9,Paramètres!$A$1:$I$89,3,0)*0.475*44/12</f>
        <v>3.3500999072260509</v>
      </c>
      <c r="AB80" s="21">
        <f>EXP(-LN(2)/2)*AB79+(1-EXP(-LN(2)/2))/(LN(2)/2)*V80*Y80*VLOOKUP('Données projet'!$B$9,Paramètres!$A$1:$I$89,3,0)*0.475*44/12</f>
        <v>4.5903754305406987E-7</v>
      </c>
      <c r="AC80" s="22">
        <f t="shared" si="57"/>
        <v>5.7992179595418376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428.39999999999958</v>
      </c>
      <c r="AJ80" s="13">
        <f>AI80*VLOOKUP('Données projet'!$B$10,Paramètres!$A$1:$I$89,3,0)*VLOOKUP('Données projet'!$B$10,Paramètres!$A$1:$I$89,5,0)</f>
        <v>256.18319999999977</v>
      </c>
      <c r="AK80" s="13">
        <f t="shared" si="89"/>
        <v>61.90809149979912</v>
      </c>
      <c r="AL80" s="20">
        <f t="shared" si="58"/>
        <v>554.00899936214978</v>
      </c>
      <c r="AM80" s="59">
        <f t="shared" si="59"/>
        <v>847.34233269548304</v>
      </c>
      <c r="AN80" s="59">
        <f ca="1">AVERAGE(OFFSET($AM$3,0,0,'Données projet'!$E$10+1,1))-AVERAGE(OFFSET($H$3,0,0,'Données projet'!$E$10+1,1))</f>
        <v>247.30892363953825</v>
      </c>
      <c r="AO80" s="59">
        <f t="shared" si="90"/>
        <v>248.38414731596578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1.9702884432425303</v>
      </c>
      <c r="AV80" s="21">
        <f>EXP(-LN(2)/25)*AV79+(1-EXP(-LN(2)/25))/(LN(2)/25)*Calculateur!AQ80*Calculateur!AS80*VLOOKUP('Données projet'!$B$10,Paramètres!$A$1:$I$89,3,0)*0.475*44/12</f>
        <v>2.8147120325355064</v>
      </c>
      <c r="AW80" s="21">
        <f>EXP(-LN(2)/2)*AW79+(1-EXP(-LN(2)/2))/(LN(2)/2)*AQ80*AT80*VLOOKUP('Données projet'!$B$10,Paramètres!$A$1:$I$89,3,0)*0.475*44/12</f>
        <v>1.6007234381390054E-6</v>
      </c>
      <c r="AX80" s="21">
        <f t="shared" si="60"/>
        <v>4.7850020765014749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14.1</v>
      </c>
      <c r="BD80" s="12">
        <f>IF('Données projet'!$A$88&gt;35,BD79+BC80-BL79,IF(A80&lt;'Données projet'!$A$88,$BA$205^A80,IF(A80='Données projet'!$A$88,'Données projet'!$B$88,BD79+BC80-BL79)))</f>
        <v>704.6999999999997</v>
      </c>
      <c r="BE80" s="13">
        <f>BD80*VLOOKUP('Données projet'!$B$11,Paramètres!$A$1:$I$89,3,0)*VLOOKUP('Données projet'!$B$11,Paramètres!$A$1:$I$89,5,0)</f>
        <v>283.99409999999989</v>
      </c>
      <c r="BF80" s="13">
        <f t="shared" si="91"/>
        <v>67.810379972632461</v>
      </c>
      <c r="BG80" s="20">
        <f t="shared" si="61"/>
        <v>612.72613595233463</v>
      </c>
      <c r="BH80" s="59">
        <f t="shared" si="62"/>
        <v>906.059469285668</v>
      </c>
      <c r="BI80" s="59">
        <f ca="1">AVERAGE(OFFSET($BH$3,0,0,'Données projet'!$E$11+1,1))-AVERAGE(OFFSET($H$3,0,0,'Données projet'!$E$11+1,1))</f>
        <v>265.97106059040101</v>
      </c>
      <c r="BJ80" s="59">
        <f t="shared" si="92"/>
        <v>240.18718869578237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2.2720186058067253</v>
      </c>
      <c r="BQ80" s="21">
        <f>EXP(-LN(2)/25)*BQ79+(1-EXP(-LN(2)/25))/(LN(2)/25)*Calculateur!BL80*Calculateur!BN80*VLOOKUP('Données projet'!$B$11,Paramètres!$A$1:$I$89,3,0)*0.475*44/12</f>
        <v>3.1191223390198202</v>
      </c>
      <c r="BR80" s="21">
        <f>EXP(-LN(2)/2)*BR79+(1-EXP(-LN(2)/2))/(LN(2)/2)*BL80*BO80*VLOOKUP('Données projet'!$B$11,Paramètres!$A$1:$I$89,3,0)*0.475*44/12</f>
        <v>1.5077236745754775E-6</v>
      </c>
      <c r="BS80" s="22">
        <f t="shared" si="63"/>
        <v>5.3911424525502207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7.2</v>
      </c>
      <c r="BY80" s="12">
        <f>IF('Données projet'!$A$114&gt;35,BY79+BX80-CG79,IF(A80&lt;'Données projet'!$A$114,$BV$205^A80,IF(A80='Données projet'!$A$114,'Données projet'!$B$114,BY79+BX80-CG79)))</f>
        <v>428.39999999999958</v>
      </c>
      <c r="BZ80" s="13">
        <f>BY80*VLOOKUP('Données projet'!$B$12,Paramètres!$A$1:$I$89,3,0)*VLOOKUP('Données projet'!$B$12,Paramètres!$A$1:$I$89,5,0)</f>
        <v>256.18319999999977</v>
      </c>
      <c r="CA80" s="13">
        <f t="shared" si="93"/>
        <v>61.90809149979912</v>
      </c>
      <c r="CB80" s="20">
        <f t="shared" si="64"/>
        <v>554.00899936214978</v>
      </c>
      <c r="CC80" s="59">
        <f t="shared" si="65"/>
        <v>847.34233269548304</v>
      </c>
      <c r="CD80" s="59">
        <f ca="1">AVERAGE(OFFSET($CC$3,0,0,'Données projet'!$E$12+1,1))-AVERAGE(OFFSET($H$3,0,0,'Données projet'!$E$12+1,1))</f>
        <v>247.30892363953825</v>
      </c>
      <c r="CE80" s="59">
        <f t="shared" si="94"/>
        <v>248.38414731596578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1.9702884432425303</v>
      </c>
      <c r="CL80" s="21">
        <f>EXP(-LN(2)/25)*CL79+(1-EXP(-LN(2)/25))/(LN(2)/25)*Calculateur!CG80*Calculateur!CI80*VLOOKUP('Données projet'!$B$12,Paramètres!$A$1:$I$89,3,0)*0.475*44/12</f>
        <v>2.8147120325355064</v>
      </c>
      <c r="CM80" s="21">
        <f>EXP(-LN(2)/2)*CM79+(1-EXP(-LN(2)/2))/(LN(2)/2)*CG80*CJ80*VLOOKUP('Données projet'!$B$12,Paramètres!$A$1:$I$89,3,0)*0.475*44/12</f>
        <v>1.6007234381390054E-6</v>
      </c>
      <c r="CN80" s="22">
        <f t="shared" si="66"/>
        <v>4.7850020765014749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191.77102466144095</v>
      </c>
      <c r="T81" s="59">
        <f t="shared" si="88"/>
        <v>205.57161411620217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2.4010918910882872</v>
      </c>
      <c r="AA81" s="21">
        <f>EXP(-LN(2)/25)*AA80+(1-EXP(-LN(2)/25))/(LN(2)/25)*Calculateur!V81*Calculateur!X81*VLOOKUP('Données projet'!$B$9,Paramètres!$A$1:$I$89,3,0)*0.475*44/12</f>
        <v>3.2584912490888573</v>
      </c>
      <c r="AB81" s="21">
        <f>EXP(-LN(2)/2)*AB80+(1-EXP(-LN(2)/2))/(LN(2)/2)*V81*Y81*VLOOKUP('Données projet'!$B$9,Paramètres!$A$1:$I$89,3,0)*0.475*44/12</f>
        <v>3.245885595127446E-7</v>
      </c>
      <c r="AC81" s="22">
        <f t="shared" si="57"/>
        <v>5.6595834647657037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435.59999999999957</v>
      </c>
      <c r="AJ81" s="13">
        <f>AI81*VLOOKUP('Données projet'!$B$10,Paramètres!$A$1:$I$89,3,0)*VLOOKUP('Données projet'!$B$10,Paramètres!$A$1:$I$89,5,0)</f>
        <v>260.48879999999974</v>
      </c>
      <c r="AK81" s="13">
        <f t="shared" si="89"/>
        <v>62.826558970958764</v>
      </c>
      <c r="AL81" s="20">
        <f t="shared" si="58"/>
        <v>563.107583541086</v>
      </c>
      <c r="AM81" s="59">
        <f t="shared" si="59"/>
        <v>856.44091687441937</v>
      </c>
      <c r="AN81" s="59">
        <f ca="1">AVERAGE(OFFSET($AM$3,0,0,'Données projet'!$E$10+1,1))-AVERAGE(OFFSET($H$3,0,0,'Données projet'!$E$10+1,1))</f>
        <v>247.30892363953825</v>
      </c>
      <c r="AO81" s="59">
        <f t="shared" si="90"/>
        <v>248.38414731596578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1.9316522886278309</v>
      </c>
      <c r="AV81" s="21">
        <f>EXP(-LN(2)/25)*AV80+(1-EXP(-LN(2)/25))/(LN(2)/25)*Calculateur!AQ81*Calculateur!AS81*VLOOKUP('Données projet'!$B$10,Paramètres!$A$1:$I$89,3,0)*0.475*44/12</f>
        <v>2.7377435839865503</v>
      </c>
      <c r="AW81" s="21">
        <f>EXP(-LN(2)/2)*AW80+(1-EXP(-LN(2)/2))/(LN(2)/2)*AQ81*AT81*VLOOKUP('Données projet'!$B$10,Paramètres!$A$1:$I$89,3,0)*0.475*44/12</f>
        <v>1.1318823979123357E-6</v>
      </c>
      <c r="AX81" s="21">
        <f t="shared" si="60"/>
        <v>4.669397004496779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14.1</v>
      </c>
      <c r="BD81" s="12">
        <f>IF('Données projet'!$A$88&gt;35,BD80+BC81-BL80,IF(A81&lt;'Données projet'!$A$88,$BA$205^A81,IF(A81='Données projet'!$A$88,'Données projet'!$B$88,BD80+BC81-BL80)))</f>
        <v>718.79999999999973</v>
      </c>
      <c r="BE81" s="13">
        <f>BD81*VLOOKUP('Données projet'!$B$11,Paramètres!$A$1:$I$89,3,0)*VLOOKUP('Données projet'!$B$11,Paramètres!$A$1:$I$89,5,0)</f>
        <v>289.67639999999989</v>
      </c>
      <c r="BF81" s="13">
        <f t="shared" si="91"/>
        <v>69.00784938329906</v>
      </c>
      <c r="BG81" s="20">
        <f t="shared" si="61"/>
        <v>624.70840100924568</v>
      </c>
      <c r="BH81" s="59">
        <f t="shared" si="62"/>
        <v>918.04173434257905</v>
      </c>
      <c r="BI81" s="59">
        <f ca="1">AVERAGE(OFFSET($BH$3,0,0,'Données projet'!$E$11+1,1))-AVERAGE(OFFSET($H$3,0,0,'Données projet'!$E$11+1,1))</f>
        <v>265.97106059040101</v>
      </c>
      <c r="BJ81" s="59">
        <f t="shared" si="92"/>
        <v>240.18718869578237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2.227465706741369</v>
      </c>
      <c r="BQ81" s="21">
        <f>EXP(-LN(2)/25)*BQ80+(1-EXP(-LN(2)/25))/(LN(2)/25)*Calculateur!BL81*Calculateur!BN81*VLOOKUP('Données projet'!$B$11,Paramètres!$A$1:$I$89,3,0)*0.475*44/12</f>
        <v>3.0338297746318084</v>
      </c>
      <c r="BR81" s="21">
        <f>EXP(-LN(2)/2)*BR80+(1-EXP(-LN(2)/2))/(LN(2)/2)*BL81*BO81*VLOOKUP('Données projet'!$B$11,Paramètres!$A$1:$I$89,3,0)*0.475*44/12</f>
        <v>1.0661216344478195E-6</v>
      </c>
      <c r="BS81" s="22">
        <f t="shared" si="63"/>
        <v>5.2612965474948119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7.2</v>
      </c>
      <c r="BY81" s="12">
        <f>IF('Données projet'!$A$114&gt;35,BY80+BX81-CG80,IF(A81&lt;'Données projet'!$A$114,$BV$205^A81,IF(A81='Données projet'!$A$114,'Données projet'!$B$114,BY80+BX81-CG80)))</f>
        <v>435.59999999999957</v>
      </c>
      <c r="BZ81" s="13">
        <f>BY81*VLOOKUP('Données projet'!$B$12,Paramètres!$A$1:$I$89,3,0)*VLOOKUP('Données projet'!$B$12,Paramètres!$A$1:$I$89,5,0)</f>
        <v>260.48879999999974</v>
      </c>
      <c r="CA81" s="13">
        <f t="shared" si="93"/>
        <v>62.826558970958764</v>
      </c>
      <c r="CB81" s="20">
        <f t="shared" si="64"/>
        <v>563.107583541086</v>
      </c>
      <c r="CC81" s="59">
        <f t="shared" si="65"/>
        <v>856.44091687441937</v>
      </c>
      <c r="CD81" s="59">
        <f ca="1">AVERAGE(OFFSET($CC$3,0,0,'Données projet'!$E$12+1,1))-AVERAGE(OFFSET($H$3,0,0,'Données projet'!$E$12+1,1))</f>
        <v>247.30892363953825</v>
      </c>
      <c r="CE81" s="59">
        <f t="shared" si="94"/>
        <v>248.38414731596578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1.9316522886278309</v>
      </c>
      <c r="CL81" s="21">
        <f>EXP(-LN(2)/25)*CL80+(1-EXP(-LN(2)/25))/(LN(2)/25)*Calculateur!CG81*Calculateur!CI81*VLOOKUP('Données projet'!$B$12,Paramètres!$A$1:$I$89,3,0)*0.475*44/12</f>
        <v>2.7377435839865503</v>
      </c>
      <c r="CM81" s="21">
        <f>EXP(-LN(2)/2)*CM80+(1-EXP(-LN(2)/2))/(LN(2)/2)*CG81*CJ81*VLOOKUP('Données projet'!$B$12,Paramètres!$A$1:$I$89,3,0)*0.475*44/12</f>
        <v>1.1318823979123357E-6</v>
      </c>
      <c r="CN81" s="22">
        <f t="shared" si="66"/>
        <v>4.669397004496779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191.77102466144095</v>
      </c>
      <c r="T82" s="59">
        <f t="shared" si="88"/>
        <v>205.57161411620217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2.3540079436254899</v>
      </c>
      <c r="AA82" s="21">
        <f>EXP(-LN(2)/25)*AA81+(1-EXP(-LN(2)/25))/(LN(2)/25)*Calculateur!V82*Calculateur!X82*VLOOKUP('Données projet'!$B$9,Paramètres!$A$1:$I$89,3,0)*0.475*44/12</f>
        <v>3.1693876345259153</v>
      </c>
      <c r="AB82" s="21">
        <f>EXP(-LN(2)/2)*AB81+(1-EXP(-LN(2)/2))/(LN(2)/2)*V82*Y82*VLOOKUP('Données projet'!$B$9,Paramètres!$A$1:$I$89,3,0)*0.475*44/12</f>
        <v>2.2951877152703496E-7</v>
      </c>
      <c r="AC82" s="22">
        <f t="shared" si="57"/>
        <v>5.5233958076701759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442.79999999999956</v>
      </c>
      <c r="AJ82" s="13">
        <f>AI82*VLOOKUP('Données projet'!$B$10,Paramètres!$A$1:$I$89,3,0)*VLOOKUP('Données projet'!$B$10,Paramètres!$A$1:$I$89,5,0)</f>
        <v>264.79439999999977</v>
      </c>
      <c r="AK82" s="13">
        <f t="shared" si="89"/>
        <v>63.74326095490612</v>
      </c>
      <c r="AL82" s="20">
        <f t="shared" si="58"/>
        <v>572.2030928297944</v>
      </c>
      <c r="AM82" s="59">
        <f t="shared" si="59"/>
        <v>865.53642616312777</v>
      </c>
      <c r="AN82" s="59">
        <f ca="1">AVERAGE(OFFSET($AM$3,0,0,'Données projet'!$E$10+1,1))-AVERAGE(OFFSET($H$3,0,0,'Données projet'!$E$10+1,1))</f>
        <v>247.30892363953825</v>
      </c>
      <c r="AO82" s="59">
        <f t="shared" si="90"/>
        <v>248.38414731596578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1.8937737654393985</v>
      </c>
      <c r="AV82" s="21">
        <f>EXP(-LN(2)/25)*AV81+(1-EXP(-LN(2)/25))/(LN(2)/25)*Calculateur!AQ82*Calculateur!AS82*VLOOKUP('Données projet'!$B$10,Paramètres!$A$1:$I$89,3,0)*0.475*44/12</f>
        <v>2.66287984171076</v>
      </c>
      <c r="AW82" s="21">
        <f>EXP(-LN(2)/2)*AW81+(1-EXP(-LN(2)/2))/(LN(2)/2)*AQ82*AT82*VLOOKUP('Données projet'!$B$10,Paramètres!$A$1:$I$89,3,0)*0.475*44/12</f>
        <v>8.003617190695027E-7</v>
      </c>
      <c r="AX82" s="21">
        <f t="shared" si="60"/>
        <v>4.5566544075118776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14.1</v>
      </c>
      <c r="BD82" s="12">
        <f>IF('Données projet'!$A$88&gt;35,BD81+BC82-BL81,IF(A82&lt;'Données projet'!$A$88,$BA$205^A82,IF(A82='Données projet'!$A$88,'Données projet'!$B$88,BD81+BC82-BL81)))</f>
        <v>732.89999999999975</v>
      </c>
      <c r="BE82" s="13">
        <f>BD82*VLOOKUP('Données projet'!$B$11,Paramètres!$A$1:$I$89,3,0)*VLOOKUP('Données projet'!$B$11,Paramètres!$A$1:$I$89,5,0)</f>
        <v>295.35869999999994</v>
      </c>
      <c r="BF82" s="13">
        <f t="shared" si="91"/>
        <v>70.202587539423405</v>
      </c>
      <c r="BG82" s="20">
        <f t="shared" si="61"/>
        <v>636.68590913116225</v>
      </c>
      <c r="BH82" s="59">
        <f t="shared" si="62"/>
        <v>930.01924246449562</v>
      </c>
      <c r="BI82" s="59">
        <f ca="1">AVERAGE(OFFSET($BH$3,0,0,'Données projet'!$E$11+1,1))-AVERAGE(OFFSET($H$3,0,0,'Données projet'!$E$11+1,1))</f>
        <v>265.97106059040101</v>
      </c>
      <c r="BJ82" s="59">
        <f t="shared" si="92"/>
        <v>240.18718869578237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2.1837864628520993</v>
      </c>
      <c r="BQ82" s="21">
        <f>EXP(-LN(2)/25)*BQ81+(1-EXP(-LN(2)/25))/(LN(2)/25)*Calculateur!BL82*Calculateur!BN82*VLOOKUP('Données projet'!$B$11,Paramètres!$A$1:$I$89,3,0)*0.475*44/12</f>
        <v>2.9508695399023277</v>
      </c>
      <c r="BR82" s="21">
        <f>EXP(-LN(2)/2)*BR81+(1-EXP(-LN(2)/2))/(LN(2)/2)*BL82*BO82*VLOOKUP('Données projet'!$B$11,Paramètres!$A$1:$I$89,3,0)*0.475*44/12</f>
        <v>7.5386183728773873E-7</v>
      </c>
      <c r="BS82" s="22">
        <f t="shared" si="63"/>
        <v>5.1346567566162644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7.2</v>
      </c>
      <c r="BY82" s="12">
        <f>IF('Données projet'!$A$114&gt;35,BY81+BX82-CG81,IF(A82&lt;'Données projet'!$A$114,$BV$205^A82,IF(A82='Données projet'!$A$114,'Données projet'!$B$114,BY81+BX82-CG81)))</f>
        <v>442.79999999999956</v>
      </c>
      <c r="BZ82" s="13">
        <f>BY82*VLOOKUP('Données projet'!$B$12,Paramètres!$A$1:$I$89,3,0)*VLOOKUP('Données projet'!$B$12,Paramètres!$A$1:$I$89,5,0)</f>
        <v>264.79439999999977</v>
      </c>
      <c r="CA82" s="13">
        <f t="shared" si="93"/>
        <v>63.74326095490612</v>
      </c>
      <c r="CB82" s="20">
        <f t="shared" si="64"/>
        <v>572.2030928297944</v>
      </c>
      <c r="CC82" s="59">
        <f t="shared" si="65"/>
        <v>865.53642616312777</v>
      </c>
      <c r="CD82" s="59">
        <f ca="1">AVERAGE(OFFSET($CC$3,0,0,'Données projet'!$E$12+1,1))-AVERAGE(OFFSET($H$3,0,0,'Données projet'!$E$12+1,1))</f>
        <v>247.30892363953825</v>
      </c>
      <c r="CE82" s="59">
        <f t="shared" si="94"/>
        <v>248.38414731596578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1.8937737654393985</v>
      </c>
      <c r="CL82" s="21">
        <f>EXP(-LN(2)/25)*CL81+(1-EXP(-LN(2)/25))/(LN(2)/25)*Calculateur!CG82*Calculateur!CI82*VLOOKUP('Données projet'!$B$12,Paramètres!$A$1:$I$89,3,0)*0.475*44/12</f>
        <v>2.66287984171076</v>
      </c>
      <c r="CM82" s="21">
        <f>EXP(-LN(2)/2)*CM81+(1-EXP(-LN(2)/2))/(LN(2)/2)*CG82*CJ82*VLOOKUP('Données projet'!$B$12,Paramètres!$A$1:$I$89,3,0)*0.475*44/12</f>
        <v>8.003617190695027E-7</v>
      </c>
      <c r="CN82" s="22">
        <f t="shared" si="66"/>
        <v>4.5566544075118776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191.77102466144095</v>
      </c>
      <c r="T83" s="59">
        <f t="shared" si="88"/>
        <v>205.57161411620217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2.3078472836540658</v>
      </c>
      <c r="AA83" s="21">
        <f>EXP(-LN(2)/25)*AA82+(1-EXP(-LN(2)/25))/(LN(2)/25)*Calculateur!V83*Calculateur!X83*VLOOKUP('Données projet'!$B$9,Paramètres!$A$1:$I$89,3,0)*0.475*44/12</f>
        <v>3.082720562988952</v>
      </c>
      <c r="AB83" s="21">
        <f>EXP(-LN(2)/2)*AB82+(1-EXP(-LN(2)/2))/(LN(2)/2)*V83*Y83*VLOOKUP('Données projet'!$B$9,Paramètres!$A$1:$I$89,3,0)*0.475*44/12</f>
        <v>1.622942797563723E-7</v>
      </c>
      <c r="AC83" s="22">
        <f t="shared" si="57"/>
        <v>5.3905680089372972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450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449.99999999999955</v>
      </c>
      <c r="AJ83" s="13">
        <f>AI83*VLOOKUP('Données projet'!$B$10,Paramètres!$A$1:$I$89,3,0)*VLOOKUP('Données projet'!$B$10,Paramètres!$A$1:$I$89,5,0)</f>
        <v>269.09999999999974</v>
      </c>
      <c r="AK83" s="13">
        <f t="shared" si="89"/>
        <v>64.658229472790936</v>
      </c>
      <c r="AL83" s="20">
        <f t="shared" si="58"/>
        <v>581.29558299844382</v>
      </c>
      <c r="AM83" s="59">
        <f t="shared" si="59"/>
        <v>874.62891633177719</v>
      </c>
      <c r="AN83" s="59">
        <f ca="1">AVERAGE(OFFSET($AM$3,0,0,'Données projet'!$E$10+1,1))-AVERAGE(OFFSET($H$3,0,0,'Données projet'!$E$10+1,1))</f>
        <v>247.30892363953825</v>
      </c>
      <c r="AO83" s="59">
        <f t="shared" si="90"/>
        <v>248.38414731596578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450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1.8566380169870733</v>
      </c>
      <c r="AV83" s="21">
        <f>EXP(-LN(2)/25)*AV82+(1-EXP(-LN(2)/25))/(LN(2)/25)*Calculateur!AQ83*Calculateur!AS83*VLOOKUP('Données projet'!$B$10,Paramètres!$A$1:$I$89,3,0)*0.475*44/12</f>
        <v>2.5900632524044145</v>
      </c>
      <c r="AW83" s="21">
        <f>EXP(-LN(2)/2)*AW82+(1-EXP(-LN(2)/2))/(LN(2)/2)*AQ83*AT83*VLOOKUP('Données projet'!$B$10,Paramètres!$A$1:$I$89,3,0)*0.475*44/12</f>
        <v>5.6594119895616785E-7</v>
      </c>
      <c r="AX83" s="21">
        <f t="shared" si="60"/>
        <v>4.4467018353326866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747</v>
      </c>
      <c r="BB83" s="12">
        <f>VLOOKUP(A83,'Données projet'!$A$87:$I$107,9,0)</f>
        <v>14.1</v>
      </c>
      <c r="BC83" s="12">
        <f t="array" ref="BC83">INDEX(BB:BB,MIN(IF(ISNUMBER(BB83:BB279),ROW(BB83:BB279),"")))</f>
        <v>14.1</v>
      </c>
      <c r="BD83" s="12">
        <f>IF('Données projet'!$A$88&gt;35,BD82+BC83-BL82,IF(A83&lt;'Données projet'!$A$88,$BA$205^A83,IF(A83='Données projet'!$A$88,'Données projet'!$B$88,BD82+BC83-BL82)))</f>
        <v>746.99999999999977</v>
      </c>
      <c r="BE83" s="13">
        <f>BD83*VLOOKUP('Données projet'!$B$11,Paramètres!$A$1:$I$89,3,0)*VLOOKUP('Données projet'!$B$11,Paramètres!$A$1:$I$89,5,0)</f>
        <v>301.04099999999994</v>
      </c>
      <c r="BF83" s="13">
        <f t="shared" si="91"/>
        <v>71.394653044601426</v>
      </c>
      <c r="BG83" s="20">
        <f t="shared" si="61"/>
        <v>648.65876238601402</v>
      </c>
      <c r="BH83" s="59">
        <f t="shared" si="62"/>
        <v>941.99209571934739</v>
      </c>
      <c r="BI83" s="59">
        <f ca="1">AVERAGE(OFFSET($BH$3,0,0,'Données projet'!$E$11+1,1))-AVERAGE(OFFSET($H$3,0,0,'Données projet'!$E$11+1,1))</f>
        <v>265.97106059040101</v>
      </c>
      <c r="BJ83" s="59">
        <f t="shared" si="92"/>
        <v>240.18718869578237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747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2.1409637422937902</v>
      </c>
      <c r="BQ83" s="21">
        <f>EXP(-LN(2)/25)*BQ82+(1-EXP(-LN(2)/25))/(LN(2)/25)*Calculateur!BL83*Calculateur!BN83*VLOOKUP('Données projet'!$B$11,Paramètres!$A$1:$I$89,3,0)*0.475*44/12</f>
        <v>2.8701778571542138</v>
      </c>
      <c r="BR83" s="21">
        <f>EXP(-LN(2)/2)*BR82+(1-EXP(-LN(2)/2))/(LN(2)/2)*BL83*BO83*VLOOKUP('Données projet'!$B$11,Paramètres!$A$1:$I$89,3,0)*0.475*44/12</f>
        <v>5.3306081722390975E-7</v>
      </c>
      <c r="BS83" s="22">
        <f t="shared" si="63"/>
        <v>5.0111421325088212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450</v>
      </c>
      <c r="BW83" s="12">
        <f>VLOOKUP(A83,'Données projet'!$A$113:$I$133,9,0)</f>
        <v>7.2</v>
      </c>
      <c r="BX83" s="12">
        <f t="array" ref="BX83">INDEX(BW:BW,MIN(IF(ISNUMBER(BW83:BW279),ROW(BW83:BW279),"")))</f>
        <v>7.2</v>
      </c>
      <c r="BY83" s="12">
        <f>IF('Données projet'!$A$114&gt;35,BY82+BX83-CG82,IF(A83&lt;'Données projet'!$A$114,$BV$205^A83,IF(A83='Données projet'!$A$114,'Données projet'!$B$114,BY82+BX83-CG82)))</f>
        <v>449.99999999999955</v>
      </c>
      <c r="BZ83" s="13">
        <f>BY83*VLOOKUP('Données projet'!$B$12,Paramètres!$A$1:$I$89,3,0)*VLOOKUP('Données projet'!$B$12,Paramètres!$A$1:$I$89,5,0)</f>
        <v>269.09999999999974</v>
      </c>
      <c r="CA83" s="13">
        <f t="shared" si="93"/>
        <v>64.658229472790936</v>
      </c>
      <c r="CB83" s="20">
        <f t="shared" si="64"/>
        <v>581.29558299844382</v>
      </c>
      <c r="CC83" s="59">
        <f t="shared" si="65"/>
        <v>874.62891633177719</v>
      </c>
      <c r="CD83" s="59">
        <f ca="1">AVERAGE(OFFSET($CC$3,0,0,'Données projet'!$E$12+1,1))-AVERAGE(OFFSET($H$3,0,0,'Données projet'!$E$12+1,1))</f>
        <v>247.30892363953825</v>
      </c>
      <c r="CE83" s="59">
        <f t="shared" si="94"/>
        <v>248.38414731596578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450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1.8566380169870733</v>
      </c>
      <c r="CL83" s="21">
        <f>EXP(-LN(2)/25)*CL82+(1-EXP(-LN(2)/25))/(LN(2)/25)*Calculateur!CG83*Calculateur!CI83*VLOOKUP('Données projet'!$B$12,Paramètres!$A$1:$I$89,3,0)*0.475*44/12</f>
        <v>2.5900632524044145</v>
      </c>
      <c r="CM83" s="21">
        <f>EXP(-LN(2)/2)*CM82+(1-EXP(-LN(2)/2))/(LN(2)/2)*CG83*CJ83*VLOOKUP('Données projet'!$B$12,Paramètres!$A$1:$I$89,3,0)*0.475*44/12</f>
        <v>5.6594119895616785E-7</v>
      </c>
      <c r="CN83" s="22">
        <f t="shared" si="66"/>
        <v>4.4467018353326866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191.77102466144095</v>
      </c>
      <c r="T84" s="59">
        <f t="shared" si="88"/>
        <v>205.57161411620217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2.2625918060694588</v>
      </c>
      <c r="AA84" s="21">
        <f>EXP(-LN(2)/25)*AA83+(1-EXP(-LN(2)/25))/(LN(2)/25)*Calculateur!V84*Calculateur!X84*VLOOKUP('Données projet'!$B$9,Paramètres!$A$1:$I$89,3,0)*0.475*44/12</f>
        <v>2.9984234070807902</v>
      </c>
      <c r="AB84" s="21">
        <f>EXP(-LN(2)/2)*AB83+(1-EXP(-LN(2)/2))/(LN(2)/2)*V84*Y84*VLOOKUP('Données projet'!$B$9,Paramètres!$A$1:$I$89,3,0)*0.475*44/12</f>
        <v>1.1475938576351748E-7</v>
      </c>
      <c r="AC84" s="22">
        <f t="shared" si="57"/>
        <v>5.261015327909635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-4.5474735088646412E-13</v>
      </c>
      <c r="AJ84" s="13">
        <f>AI84*VLOOKUP('Données projet'!$B$10,Paramètres!$A$1:$I$89,3,0)*VLOOKUP('Données projet'!$B$10,Paramètres!$A$1:$I$89,5,0)</f>
        <v>-2.7193891583010558E-13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247.30892363953825</v>
      </c>
      <c r="AO84" s="59">
        <f t="shared" si="90"/>
        <v>248.38414731596578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1.8202304779113283</v>
      </c>
      <c r="AV84" s="21">
        <f>EXP(-LN(2)/25)*AV83+(1-EXP(-LN(2)/25))/(LN(2)/25)*Calculateur!AQ84*Calculateur!AS84*VLOOKUP('Données projet'!$B$10,Paramètres!$A$1:$I$89,3,0)*0.475*44/12</f>
        <v>2.519237836561909</v>
      </c>
      <c r="AW84" s="21">
        <f>EXP(-LN(2)/2)*AW83+(1-EXP(-LN(2)/2))/(LN(2)/2)*AQ84*AT84*VLOOKUP('Données projet'!$B$10,Paramètres!$A$1:$I$89,3,0)*0.475*44/12</f>
        <v>4.0018085953475135E-7</v>
      </c>
      <c r="AX84" s="21">
        <f t="shared" si="60"/>
        <v>4.339468714654096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-2.2737367544323206E-13</v>
      </c>
      <c r="BE84" s="13">
        <f>BD84*VLOOKUP('Données projet'!$B$11,Paramètres!$A$1:$I$89,3,0)*VLOOKUP('Données projet'!$B$11,Paramètres!$A$1:$I$89,5,0)</f>
        <v>-9.1631591203622526E-14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265.97106059040101</v>
      </c>
      <c r="BJ84" s="59">
        <f t="shared" si="92"/>
        <v>240.18718869578237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2.098980749166349</v>
      </c>
      <c r="BQ84" s="21">
        <f>EXP(-LN(2)/25)*BQ83+(1-EXP(-LN(2)/25))/(LN(2)/25)*Calculateur!BL84*Calculateur!BN84*VLOOKUP('Données projet'!$B$11,Paramètres!$A$1:$I$89,3,0)*0.475*44/12</f>
        <v>2.7916926927142383</v>
      </c>
      <c r="BR84" s="21">
        <f>EXP(-LN(2)/2)*BR83+(1-EXP(-LN(2)/2))/(LN(2)/2)*BL84*BO84*VLOOKUP('Données projet'!$B$11,Paramètres!$A$1:$I$89,3,0)*0.475*44/12</f>
        <v>3.7693091864386936E-7</v>
      </c>
      <c r="BS84" s="22">
        <f t="shared" si="63"/>
        <v>4.8906738188115053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-4.5474735088646412E-13</v>
      </c>
      <c r="BZ84" s="13">
        <f>BY84*VLOOKUP('Données projet'!$B$12,Paramètres!$A$1:$I$89,3,0)*VLOOKUP('Données projet'!$B$12,Paramètres!$A$1:$I$89,5,0)</f>
        <v>-2.7193891583010558E-13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247.30892363953825</v>
      </c>
      <c r="CE84" s="59">
        <f t="shared" si="94"/>
        <v>248.38414731596578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1.8202304779113283</v>
      </c>
      <c r="CL84" s="21">
        <f>EXP(-LN(2)/25)*CL83+(1-EXP(-LN(2)/25))/(LN(2)/25)*Calculateur!CG84*Calculateur!CI84*VLOOKUP('Données projet'!$B$12,Paramètres!$A$1:$I$89,3,0)*0.475*44/12</f>
        <v>2.519237836561909</v>
      </c>
      <c r="CM84" s="21">
        <f>EXP(-LN(2)/2)*CM83+(1-EXP(-LN(2)/2))/(LN(2)/2)*CG84*CJ84*VLOOKUP('Données projet'!$B$12,Paramètres!$A$1:$I$89,3,0)*0.475*44/12</f>
        <v>4.0018085953475135E-7</v>
      </c>
      <c r="CN84" s="22">
        <f t="shared" si="66"/>
        <v>4.339468714654096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191.77102466144095</v>
      </c>
      <c r="T85" s="59">
        <f t="shared" si="88"/>
        <v>205.57161411620217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2.2182237607971702</v>
      </c>
      <c r="AA85" s="21">
        <f>EXP(-LN(2)/25)*AA84+(1-EXP(-LN(2)/25))/(LN(2)/25)*Calculateur!V85*Calculateur!X85*VLOOKUP('Données projet'!$B$9,Paramètres!$A$1:$I$89,3,0)*0.475*44/12</f>
        <v>2.9164313613339319</v>
      </c>
      <c r="AB85" s="21">
        <f>EXP(-LN(2)/2)*AB84+(1-EXP(-LN(2)/2))/(LN(2)/2)*V85*Y85*VLOOKUP('Données projet'!$B$9,Paramètres!$A$1:$I$89,3,0)*0.475*44/12</f>
        <v>8.1147139878186151E-8</v>
      </c>
      <c r="AC85" s="22">
        <f t="shared" si="57"/>
        <v>5.1346552032782418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-4.5474735088646412E-13</v>
      </c>
      <c r="AJ85" s="13">
        <f>AI85*VLOOKUP('Données projet'!$B$10,Paramètres!$A$1:$I$89,3,0)*VLOOKUP('Données projet'!$B$10,Paramètres!$A$1:$I$89,5,0)</f>
        <v>-2.7193891583010558E-13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247.30892363953825</v>
      </c>
      <c r="AO85" s="59">
        <f t="shared" si="90"/>
        <v>248.38414731596578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1.7845368684704526</v>
      </c>
      <c r="AV85" s="21">
        <f>EXP(-LN(2)/25)*AV84+(1-EXP(-LN(2)/25))/(LN(2)/25)*Calculateur!AQ85*Calculateur!AS85*VLOOKUP('Données projet'!$B$10,Paramètres!$A$1:$I$89,3,0)*0.475*44/12</f>
        <v>2.4503491454401636</v>
      </c>
      <c r="AW85" s="21">
        <f>EXP(-LN(2)/2)*AW84+(1-EXP(-LN(2)/2))/(LN(2)/2)*AQ85*AT85*VLOOKUP('Données projet'!$B$10,Paramètres!$A$1:$I$89,3,0)*0.475*44/12</f>
        <v>2.8297059947808393E-7</v>
      </c>
      <c r="AX85" s="21">
        <f t="shared" si="60"/>
        <v>4.234886296881216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-2.2737367544323206E-13</v>
      </c>
      <c r="BE85" s="13">
        <f>BD85*VLOOKUP('Données projet'!$B$11,Paramètres!$A$1:$I$89,3,0)*VLOOKUP('Données projet'!$B$11,Paramètres!$A$1:$I$89,5,0)</f>
        <v>-9.1631591203622526E-14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265.97106059040101</v>
      </c>
      <c r="BJ85" s="59">
        <f t="shared" si="92"/>
        <v>240.18718869578237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2.0578210169270394</v>
      </c>
      <c r="BQ85" s="21">
        <f>EXP(-LN(2)/25)*BQ84+(1-EXP(-LN(2)/25))/(LN(2)/25)*Calculateur!BL85*Calculateur!BN85*VLOOKUP('Données projet'!$B$11,Paramètres!$A$1:$I$89,3,0)*0.475*44/12</f>
        <v>2.7153537092232294</v>
      </c>
      <c r="BR85" s="21">
        <f>EXP(-LN(2)/2)*BR84+(1-EXP(-LN(2)/2))/(LN(2)/2)*BL85*BO85*VLOOKUP('Données projet'!$B$11,Paramètres!$A$1:$I$89,3,0)*0.475*44/12</f>
        <v>2.6653040861195488E-7</v>
      </c>
      <c r="BS85" s="22">
        <f t="shared" si="63"/>
        <v>4.7731749926806772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-4.5474735088646412E-13</v>
      </c>
      <c r="BZ85" s="13">
        <f>BY85*VLOOKUP('Données projet'!$B$12,Paramètres!$A$1:$I$89,3,0)*VLOOKUP('Données projet'!$B$12,Paramètres!$A$1:$I$89,5,0)</f>
        <v>-2.7193891583010558E-13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247.30892363953825</v>
      </c>
      <c r="CE85" s="59">
        <f t="shared" si="94"/>
        <v>248.38414731596578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1.7845368684704526</v>
      </c>
      <c r="CL85" s="21">
        <f>EXP(-LN(2)/25)*CL84+(1-EXP(-LN(2)/25))/(LN(2)/25)*Calculateur!CG85*Calculateur!CI85*VLOOKUP('Données projet'!$B$12,Paramètres!$A$1:$I$89,3,0)*0.475*44/12</f>
        <v>2.4503491454401636</v>
      </c>
      <c r="CM85" s="21">
        <f>EXP(-LN(2)/2)*CM84+(1-EXP(-LN(2)/2))/(LN(2)/2)*CG85*CJ85*VLOOKUP('Données projet'!$B$12,Paramètres!$A$1:$I$89,3,0)*0.475*44/12</f>
        <v>2.8297059947808393E-7</v>
      </c>
      <c r="CN85" s="22">
        <f t="shared" si="66"/>
        <v>4.234886296881216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191.77102466144095</v>
      </c>
      <c r="T86" s="59">
        <f t="shared" si="88"/>
        <v>205.57161411620217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2.1747257458308358</v>
      </c>
      <c r="AA86" s="21">
        <f>EXP(-LN(2)/25)*AA85+(1-EXP(-LN(2)/25))/(LN(2)/25)*Calculateur!V86*Calculateur!X86*VLOOKUP('Données projet'!$B$9,Paramètres!$A$1:$I$89,3,0)*0.475*44/12</f>
        <v>2.8366813923897958</v>
      </c>
      <c r="AB86" s="21">
        <f>EXP(-LN(2)/2)*AB85+(1-EXP(-LN(2)/2))/(LN(2)/2)*V86*Y86*VLOOKUP('Données projet'!$B$9,Paramètres!$A$1:$I$89,3,0)*0.475*44/12</f>
        <v>5.737969288175874E-8</v>
      </c>
      <c r="AC86" s="22">
        <f t="shared" si="57"/>
        <v>5.0114071956003245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-4.5474735088646412E-13</v>
      </c>
      <c r="AJ86" s="13">
        <f>AI86*VLOOKUP('Données projet'!$B$10,Paramètres!$A$1:$I$89,3,0)*VLOOKUP('Données projet'!$B$10,Paramètres!$A$1:$I$89,5,0)</f>
        <v>-2.7193891583010558E-13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247.30892363953825</v>
      </c>
      <c r="AO86" s="59">
        <f t="shared" si="90"/>
        <v>248.38414731596578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1.7495431889397604</v>
      </c>
      <c r="AV86" s="21">
        <f>EXP(-LN(2)/25)*AV85+(1-EXP(-LN(2)/25))/(LN(2)/25)*Calculateur!AQ86*Calculateur!AS86*VLOOKUP('Données projet'!$B$10,Paramètres!$A$1:$I$89,3,0)*0.475*44/12</f>
        <v>2.3833442191998411</v>
      </c>
      <c r="AW86" s="21">
        <f>EXP(-LN(2)/2)*AW85+(1-EXP(-LN(2)/2))/(LN(2)/2)*AQ86*AT86*VLOOKUP('Données projet'!$B$10,Paramètres!$A$1:$I$89,3,0)*0.475*44/12</f>
        <v>2.0009042976737567E-7</v>
      </c>
      <c r="AX86" s="21">
        <f t="shared" si="60"/>
        <v>4.132887608230031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-2.2737367544323206E-13</v>
      </c>
      <c r="BE86" s="13">
        <f>BD86*VLOOKUP('Données projet'!$B$11,Paramètres!$A$1:$I$89,3,0)*VLOOKUP('Données projet'!$B$11,Paramètres!$A$1:$I$89,5,0)</f>
        <v>-9.1631591203622526E-14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265.97106059040101</v>
      </c>
      <c r="BJ86" s="59">
        <f t="shared" si="92"/>
        <v>240.18718869578237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2.0174684019319851</v>
      </c>
      <c r="BQ86" s="21">
        <f>EXP(-LN(2)/25)*BQ85+(1-EXP(-LN(2)/25))/(LN(2)/25)*Calculateur!BL86*Calculateur!BN86*VLOOKUP('Données projet'!$B$11,Paramètres!$A$1:$I$89,3,0)*0.475*44/12</f>
        <v>2.6411022192502744</v>
      </c>
      <c r="BR86" s="21">
        <f>EXP(-LN(2)/2)*BR85+(1-EXP(-LN(2)/2))/(LN(2)/2)*BL86*BO86*VLOOKUP('Données projet'!$B$11,Paramètres!$A$1:$I$89,3,0)*0.475*44/12</f>
        <v>1.8846545932193468E-7</v>
      </c>
      <c r="BS86" s="22">
        <f t="shared" si="63"/>
        <v>4.6585708096477187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-4.5474735088646412E-13</v>
      </c>
      <c r="BZ86" s="13">
        <f>BY86*VLOOKUP('Données projet'!$B$12,Paramètres!$A$1:$I$89,3,0)*VLOOKUP('Données projet'!$B$12,Paramètres!$A$1:$I$89,5,0)</f>
        <v>-2.7193891583010558E-13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247.30892363953825</v>
      </c>
      <c r="CE86" s="59">
        <f t="shared" si="94"/>
        <v>248.38414731596578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1.7495431889397604</v>
      </c>
      <c r="CL86" s="21">
        <f>EXP(-LN(2)/25)*CL85+(1-EXP(-LN(2)/25))/(LN(2)/25)*Calculateur!CG86*Calculateur!CI86*VLOOKUP('Données projet'!$B$12,Paramètres!$A$1:$I$89,3,0)*0.475*44/12</f>
        <v>2.3833442191998411</v>
      </c>
      <c r="CM86" s="21">
        <f>EXP(-LN(2)/2)*CM85+(1-EXP(-LN(2)/2))/(LN(2)/2)*CG86*CJ86*VLOOKUP('Données projet'!$B$12,Paramètres!$A$1:$I$89,3,0)*0.475*44/12</f>
        <v>2.0009042976737567E-7</v>
      </c>
      <c r="CN86" s="22">
        <f t="shared" si="66"/>
        <v>4.132887608230031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191.77102466144095</v>
      </c>
      <c r="T87" s="59">
        <f t="shared" si="88"/>
        <v>205.57161411620217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2.1320807004068216</v>
      </c>
      <c r="AA87" s="21">
        <f>EXP(-LN(2)/25)*AA86+(1-EXP(-LN(2)/25))/(LN(2)/25)*Calculateur!V87*Calculateur!X87*VLOOKUP('Données projet'!$B$9,Paramètres!$A$1:$I$89,3,0)*0.475*44/12</f>
        <v>2.7591121905403058</v>
      </c>
      <c r="AB87" s="21">
        <f>EXP(-LN(2)/2)*AB86+(1-EXP(-LN(2)/2))/(LN(2)/2)*V87*Y87*VLOOKUP('Données projet'!$B$9,Paramètres!$A$1:$I$89,3,0)*0.475*44/12</f>
        <v>4.0573569939093075E-8</v>
      </c>
      <c r="AC87" s="22">
        <f t="shared" si="57"/>
        <v>4.8911929315206981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-4.5474735088646412E-13</v>
      </c>
      <c r="AJ87" s="13">
        <f>AI87*VLOOKUP('Données projet'!$B$10,Paramètres!$A$1:$I$89,3,0)*VLOOKUP('Données projet'!$B$10,Paramètres!$A$1:$I$89,5,0)</f>
        <v>-2.7193891583010558E-13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247.30892363953825</v>
      </c>
      <c r="AO87" s="59">
        <f t="shared" si="90"/>
        <v>248.38414731596578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1.715235714120628</v>
      </c>
      <c r="AV87" s="21">
        <f>EXP(-LN(2)/25)*AV86+(1-EXP(-LN(2)/25))/(LN(2)/25)*Calculateur!AQ87*Calculateur!AS87*VLOOKUP('Données projet'!$B$10,Paramètres!$A$1:$I$89,3,0)*0.475*44/12</f>
        <v>2.3181715461911963</v>
      </c>
      <c r="AW87" s="21">
        <f>EXP(-LN(2)/2)*AW86+(1-EXP(-LN(2)/2))/(LN(2)/2)*AQ87*AT87*VLOOKUP('Données projet'!$B$10,Paramètres!$A$1:$I$89,3,0)*0.475*44/12</f>
        <v>1.4148529973904196E-7</v>
      </c>
      <c r="AX87" s="21">
        <f t="shared" si="60"/>
        <v>4.033407401797124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-2.2737367544323206E-13</v>
      </c>
      <c r="BE87" s="13">
        <f>BD87*VLOOKUP('Données projet'!$B$11,Paramètres!$A$1:$I$89,3,0)*VLOOKUP('Données projet'!$B$11,Paramètres!$A$1:$I$89,5,0)</f>
        <v>-9.1631591203622526E-14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265.97106059040101</v>
      </c>
      <c r="BJ87" s="59">
        <f t="shared" si="92"/>
        <v>240.18718869578237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1.9779070771043188</v>
      </c>
      <c r="BQ87" s="21">
        <f>EXP(-LN(2)/25)*BQ86+(1-EXP(-LN(2)/25))/(LN(2)/25)*Calculateur!BL87*Calculateur!BN87*VLOOKUP('Données projet'!$B$11,Paramètres!$A$1:$I$89,3,0)*0.475*44/12</f>
        <v>2.5688811401753462</v>
      </c>
      <c r="BR87" s="21">
        <f>EXP(-LN(2)/2)*BR86+(1-EXP(-LN(2)/2))/(LN(2)/2)*BL87*BO87*VLOOKUP('Données projet'!$B$11,Paramètres!$A$1:$I$89,3,0)*0.475*44/12</f>
        <v>1.3326520430597744E-7</v>
      </c>
      <c r="BS87" s="22">
        <f t="shared" si="63"/>
        <v>4.546788350544869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-4.5474735088646412E-13</v>
      </c>
      <c r="BZ87" s="13">
        <f>BY87*VLOOKUP('Données projet'!$B$12,Paramètres!$A$1:$I$89,3,0)*VLOOKUP('Données projet'!$B$12,Paramètres!$A$1:$I$89,5,0)</f>
        <v>-2.7193891583010558E-13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247.30892363953825</v>
      </c>
      <c r="CE87" s="59">
        <f t="shared" si="94"/>
        <v>248.38414731596578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1.715235714120628</v>
      </c>
      <c r="CL87" s="21">
        <f>EXP(-LN(2)/25)*CL86+(1-EXP(-LN(2)/25))/(LN(2)/25)*Calculateur!CG87*Calculateur!CI87*VLOOKUP('Données projet'!$B$12,Paramètres!$A$1:$I$89,3,0)*0.475*44/12</f>
        <v>2.3181715461911963</v>
      </c>
      <c r="CM87" s="21">
        <f>EXP(-LN(2)/2)*CM86+(1-EXP(-LN(2)/2))/(LN(2)/2)*CG87*CJ87*VLOOKUP('Données projet'!$B$12,Paramètres!$A$1:$I$89,3,0)*0.475*44/12</f>
        <v>1.4148529973904196E-7</v>
      </c>
      <c r="CN87" s="22">
        <f t="shared" si="66"/>
        <v>4.033407401797124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191.77102466144095</v>
      </c>
      <c r="T88" s="59">
        <f t="shared" si="88"/>
        <v>205.57161411620217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2.0902718983126634</v>
      </c>
      <c r="AA88" s="21">
        <f>EXP(-LN(2)/25)*AA87+(1-EXP(-LN(2)/25))/(LN(2)/25)*Calculateur!V88*Calculateur!X88*VLOOKUP('Données projet'!$B$9,Paramètres!$A$1:$I$89,3,0)*0.475*44/12</f>
        <v>2.683664122594577</v>
      </c>
      <c r="AB88" s="21">
        <f>EXP(-LN(2)/2)*AB87+(1-EXP(-LN(2)/2))/(LN(2)/2)*V88*Y88*VLOOKUP('Données projet'!$B$9,Paramètres!$A$1:$I$89,3,0)*0.475*44/12</f>
        <v>2.868984644087937E-8</v>
      </c>
      <c r="AC88" s="22">
        <f t="shared" si="57"/>
        <v>4.7739360495970864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-4.5474735088646412E-13</v>
      </c>
      <c r="AJ88" s="13">
        <f>AI88*VLOOKUP('Données projet'!$B$10,Paramètres!$A$1:$I$89,3,0)*VLOOKUP('Données projet'!$B$10,Paramètres!$A$1:$I$89,5,0)</f>
        <v>-2.7193891583010558E-13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247.30892363953825</v>
      </c>
      <c r="AO88" s="59">
        <f t="shared" si="90"/>
        <v>248.38414731596578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1.6816009879572054</v>
      </c>
      <c r="AV88" s="21">
        <f>EXP(-LN(2)/25)*AV87+(1-EXP(-LN(2)/25))/(LN(2)/25)*Calculateur!AQ88*Calculateur!AS88*VLOOKUP('Données projet'!$B$10,Paramètres!$A$1:$I$89,3,0)*0.475*44/12</f>
        <v>2.2547810233532548</v>
      </c>
      <c r="AW88" s="21">
        <f>EXP(-LN(2)/2)*AW87+(1-EXP(-LN(2)/2))/(LN(2)/2)*AQ88*AT88*VLOOKUP('Données projet'!$B$10,Paramètres!$A$1:$I$89,3,0)*0.475*44/12</f>
        <v>1.0004521488368784E-7</v>
      </c>
      <c r="AX88" s="21">
        <f t="shared" si="60"/>
        <v>3.936382111355675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-2.2737367544323206E-13</v>
      </c>
      <c r="BE88" s="13">
        <f>BD88*VLOOKUP('Données projet'!$B$11,Paramètres!$A$1:$I$89,3,0)*VLOOKUP('Données projet'!$B$11,Paramètres!$A$1:$I$89,5,0)</f>
        <v>-9.1631591203622526E-14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265.97106059040101</v>
      </c>
      <c r="BJ88" s="59">
        <f t="shared" si="92"/>
        <v>240.18718869578237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1.9391215257264975</v>
      </c>
      <c r="BQ88" s="21">
        <f>EXP(-LN(2)/25)*BQ87+(1-EXP(-LN(2)/25))/(LN(2)/25)*Calculateur!BL88*Calculateur!BN88*VLOOKUP('Données projet'!$B$11,Paramètres!$A$1:$I$89,3,0)*0.475*44/12</f>
        <v>2.4986349503056635</v>
      </c>
      <c r="BR88" s="21">
        <f>EXP(-LN(2)/2)*BR87+(1-EXP(-LN(2)/2))/(LN(2)/2)*BL88*BO88*VLOOKUP('Données projet'!$B$11,Paramètres!$A$1:$I$89,3,0)*0.475*44/12</f>
        <v>9.4232729660967341E-8</v>
      </c>
      <c r="BS88" s="22">
        <f t="shared" si="63"/>
        <v>4.4377565702648916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-4.5474735088646412E-13</v>
      </c>
      <c r="BZ88" s="13">
        <f>BY88*VLOOKUP('Données projet'!$B$12,Paramètres!$A$1:$I$89,3,0)*VLOOKUP('Données projet'!$B$12,Paramètres!$A$1:$I$89,5,0)</f>
        <v>-2.7193891583010558E-13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247.30892363953825</v>
      </c>
      <c r="CE88" s="59">
        <f t="shared" si="94"/>
        <v>248.38414731596578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1.6816009879572054</v>
      </c>
      <c r="CL88" s="21">
        <f>EXP(-LN(2)/25)*CL87+(1-EXP(-LN(2)/25))/(LN(2)/25)*Calculateur!CG88*Calculateur!CI88*VLOOKUP('Données projet'!$B$12,Paramètres!$A$1:$I$89,3,0)*0.475*44/12</f>
        <v>2.2547810233532548</v>
      </c>
      <c r="CM88" s="21">
        <f>EXP(-LN(2)/2)*CM87+(1-EXP(-LN(2)/2))/(LN(2)/2)*CG88*CJ88*VLOOKUP('Données projet'!$B$12,Paramètres!$A$1:$I$89,3,0)*0.475*44/12</f>
        <v>1.0004521488368784E-7</v>
      </c>
      <c r="CN88" s="22">
        <f t="shared" si="66"/>
        <v>3.936382111355675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191.77102466144095</v>
      </c>
      <c r="T89" s="59">
        <f t="shared" si="88"/>
        <v>205.57161411620217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2.04928294132672</v>
      </c>
      <c r="AA89" s="21">
        <f>EXP(-LN(2)/25)*AA88+(1-EXP(-LN(2)/25))/(LN(2)/25)*Calculateur!V89*Calculateur!X89*VLOOKUP('Données projet'!$B$9,Paramètres!$A$1:$I$89,3,0)*0.475*44/12</f>
        <v>2.6102791860344658</v>
      </c>
      <c r="AB89" s="21">
        <f>EXP(-LN(2)/2)*AB88+(1-EXP(-LN(2)/2))/(LN(2)/2)*V89*Y89*VLOOKUP('Données projet'!$B$9,Paramètres!$A$1:$I$89,3,0)*0.475*44/12</f>
        <v>2.0286784969546538E-8</v>
      </c>
      <c r="AC89" s="22">
        <f t="shared" si="57"/>
        <v>4.6595621476479705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-4.5474735088646412E-13</v>
      </c>
      <c r="AJ89" s="13">
        <f>AI89*VLOOKUP('Données projet'!$B$10,Paramètres!$A$1:$I$89,3,0)*VLOOKUP('Données projet'!$B$10,Paramètres!$A$1:$I$89,5,0)</f>
        <v>-2.7193891583010558E-13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247.30892363953825</v>
      </c>
      <c r="AO89" s="59">
        <f t="shared" si="90"/>
        <v>248.38414731596578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1.6486258182586901</v>
      </c>
      <c r="AV89" s="21">
        <f>EXP(-LN(2)/25)*AV88+(1-EXP(-LN(2)/25))/(LN(2)/25)*Calculateur!AQ89*Calculateur!AS89*VLOOKUP('Données projet'!$B$10,Paramètres!$A$1:$I$89,3,0)*0.475*44/12</f>
        <v>2.1931239176958792</v>
      </c>
      <c r="AW89" s="21">
        <f>EXP(-LN(2)/2)*AW88+(1-EXP(-LN(2)/2))/(LN(2)/2)*AQ89*AT89*VLOOKUP('Données projet'!$B$10,Paramètres!$A$1:$I$89,3,0)*0.475*44/12</f>
        <v>7.0742649869520981E-8</v>
      </c>
      <c r="AX89" s="21">
        <f t="shared" si="60"/>
        <v>3.8417498066972193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-2.2737367544323206E-13</v>
      </c>
      <c r="BE89" s="13">
        <f>BD89*VLOOKUP('Données projet'!$B$11,Paramètres!$A$1:$I$89,3,0)*VLOOKUP('Données projet'!$B$11,Paramètres!$A$1:$I$89,5,0)</f>
        <v>-9.1631591203622526E-14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265.97106059040101</v>
      </c>
      <c r="BJ89" s="59">
        <f t="shared" si="92"/>
        <v>240.18718869578237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1.901096535354345</v>
      </c>
      <c r="BQ89" s="21">
        <f>EXP(-LN(2)/25)*BQ88+(1-EXP(-LN(2)/25))/(LN(2)/25)*Calculateur!BL89*Calculateur!BN89*VLOOKUP('Données projet'!$B$11,Paramètres!$A$1:$I$89,3,0)*0.475*44/12</f>
        <v>2.4303096461920539</v>
      </c>
      <c r="BR89" s="21">
        <f>EXP(-LN(2)/2)*BR88+(1-EXP(-LN(2)/2))/(LN(2)/2)*BL89*BO89*VLOOKUP('Données projet'!$B$11,Paramètres!$A$1:$I$89,3,0)*0.475*44/12</f>
        <v>6.6632602152988719E-8</v>
      </c>
      <c r="BS89" s="22">
        <f t="shared" si="63"/>
        <v>4.3314062481790012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-4.5474735088646412E-13</v>
      </c>
      <c r="BZ89" s="13">
        <f>BY89*VLOOKUP('Données projet'!$B$12,Paramètres!$A$1:$I$89,3,0)*VLOOKUP('Données projet'!$B$12,Paramètres!$A$1:$I$89,5,0)</f>
        <v>-2.7193891583010558E-13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247.30892363953825</v>
      </c>
      <c r="CE89" s="59">
        <f t="shared" si="94"/>
        <v>248.38414731596578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1.6486258182586901</v>
      </c>
      <c r="CL89" s="21">
        <f>EXP(-LN(2)/25)*CL88+(1-EXP(-LN(2)/25))/(LN(2)/25)*Calculateur!CG89*Calculateur!CI89*VLOOKUP('Données projet'!$B$12,Paramètres!$A$1:$I$89,3,0)*0.475*44/12</f>
        <v>2.1931239176958792</v>
      </c>
      <c r="CM89" s="21">
        <f>EXP(-LN(2)/2)*CM88+(1-EXP(-LN(2)/2))/(LN(2)/2)*CG89*CJ89*VLOOKUP('Données projet'!$B$12,Paramètres!$A$1:$I$89,3,0)*0.475*44/12</f>
        <v>7.0742649869520981E-8</v>
      </c>
      <c r="CN89" s="22">
        <f t="shared" si="66"/>
        <v>3.8417498066972193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191.77102466144095</v>
      </c>
      <c r="T90" s="59">
        <f t="shared" si="88"/>
        <v>205.57161411620217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2.009097752786476</v>
      </c>
      <c r="AA90" s="21">
        <f>EXP(-LN(2)/25)*AA89+(1-EXP(-LN(2)/25))/(LN(2)/25)*Calculateur!V90*Calculateur!X90*VLOOKUP('Données projet'!$B$9,Paramètres!$A$1:$I$89,3,0)*0.475*44/12</f>
        <v>2.5389009644237368</v>
      </c>
      <c r="AB90" s="21">
        <f>EXP(-LN(2)/2)*AB89+(1-EXP(-LN(2)/2))/(LN(2)/2)*V90*Y90*VLOOKUP('Données projet'!$B$9,Paramètres!$A$1:$I$89,3,0)*0.475*44/12</f>
        <v>1.4344923220439685E-8</v>
      </c>
      <c r="AC90" s="22">
        <f t="shared" si="57"/>
        <v>4.5479987315551362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-4.5474735088646412E-13</v>
      </c>
      <c r="AJ90" s="13">
        <f>AI90*VLOOKUP('Données projet'!$B$10,Paramètres!$A$1:$I$89,3,0)*VLOOKUP('Données projet'!$B$10,Paramètres!$A$1:$I$89,5,0)</f>
        <v>-2.7193891583010558E-13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247.30892363953825</v>
      </c>
      <c r="AO90" s="59">
        <f t="shared" si="90"/>
        <v>248.38414731596578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1.6162972715250954</v>
      </c>
      <c r="AV90" s="21">
        <f>EXP(-LN(2)/25)*AV89+(1-EXP(-LN(2)/25))/(LN(2)/25)*Calculateur!AQ90*Calculateur!AS90*VLOOKUP('Données projet'!$B$10,Paramètres!$A$1:$I$89,3,0)*0.475*44/12</f>
        <v>2.1331528288351111</v>
      </c>
      <c r="AW90" s="21">
        <f>EXP(-LN(2)/2)*AW89+(1-EXP(-LN(2)/2))/(LN(2)/2)*AQ90*AT90*VLOOKUP('Données projet'!$B$10,Paramètres!$A$1:$I$89,3,0)*0.475*44/12</f>
        <v>5.0022607441843919E-8</v>
      </c>
      <c r="AX90" s="21">
        <f t="shared" si="60"/>
        <v>3.7494501503828142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-2.2737367544323206E-13</v>
      </c>
      <c r="BE90" s="13">
        <f>BD90*VLOOKUP('Données projet'!$B$11,Paramètres!$A$1:$I$89,3,0)*VLOOKUP('Données projet'!$B$11,Paramètres!$A$1:$I$89,5,0)</f>
        <v>-9.1631591203622526E-14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265.97106059040101</v>
      </c>
      <c r="BJ90" s="59">
        <f t="shared" si="92"/>
        <v>240.18718869578237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1.8638171918504363</v>
      </c>
      <c r="BQ90" s="21">
        <f>EXP(-LN(2)/25)*BQ89+(1-EXP(-LN(2)/25))/(LN(2)/25)*Calculateur!BL90*Calculateur!BN90*VLOOKUP('Données projet'!$B$11,Paramètres!$A$1:$I$89,3,0)*0.475*44/12</f>
        <v>2.3638527011125023</v>
      </c>
      <c r="BR90" s="21">
        <f>EXP(-LN(2)/2)*BR89+(1-EXP(-LN(2)/2))/(LN(2)/2)*BL90*BO90*VLOOKUP('Données projet'!$B$11,Paramètres!$A$1:$I$89,3,0)*0.475*44/12</f>
        <v>4.7116364830483671E-8</v>
      </c>
      <c r="BS90" s="22">
        <f t="shared" si="63"/>
        <v>4.2276699400793039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-4.5474735088646412E-13</v>
      </c>
      <c r="BZ90" s="13">
        <f>BY90*VLOOKUP('Données projet'!$B$12,Paramètres!$A$1:$I$89,3,0)*VLOOKUP('Données projet'!$B$12,Paramètres!$A$1:$I$89,5,0)</f>
        <v>-2.7193891583010558E-13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247.30892363953825</v>
      </c>
      <c r="CE90" s="59">
        <f t="shared" si="94"/>
        <v>248.38414731596578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1.6162972715250954</v>
      </c>
      <c r="CL90" s="21">
        <f>EXP(-LN(2)/25)*CL89+(1-EXP(-LN(2)/25))/(LN(2)/25)*Calculateur!CG90*Calculateur!CI90*VLOOKUP('Données projet'!$B$12,Paramètres!$A$1:$I$89,3,0)*0.475*44/12</f>
        <v>2.1331528288351111</v>
      </c>
      <c r="CM90" s="21">
        <f>EXP(-LN(2)/2)*CM89+(1-EXP(-LN(2)/2))/(LN(2)/2)*CG90*CJ90*VLOOKUP('Données projet'!$B$12,Paramètres!$A$1:$I$89,3,0)*0.475*44/12</f>
        <v>5.0022607441843919E-8</v>
      </c>
      <c r="CN90" s="22">
        <f t="shared" si="66"/>
        <v>3.7494501503828142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191.77102466144095</v>
      </c>
      <c r="T91" s="59">
        <f t="shared" si="88"/>
        <v>205.57161411620217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1.9697005712829614</v>
      </c>
      <c r="AA91" s="21">
        <f>EXP(-LN(2)/25)*AA90+(1-EXP(-LN(2)/25))/(LN(2)/25)*Calculateur!V91*Calculateur!X91*VLOOKUP('Données projet'!$B$9,Paramètres!$A$1:$I$89,3,0)*0.475*44/12</f>
        <v>2.4694745840365706</v>
      </c>
      <c r="AB91" s="21">
        <f>EXP(-LN(2)/2)*AB90+(1-EXP(-LN(2)/2))/(LN(2)/2)*V91*Y91*VLOOKUP('Données projet'!$B$9,Paramètres!$A$1:$I$89,3,0)*0.475*44/12</f>
        <v>1.0143392484773269E-8</v>
      </c>
      <c r="AC91" s="22">
        <f t="shared" si="57"/>
        <v>4.4391751654629248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-4.5474735088646412E-13</v>
      </c>
      <c r="AJ91" s="13">
        <f>AI91*VLOOKUP('Données projet'!$B$10,Paramètres!$A$1:$I$89,3,0)*VLOOKUP('Données projet'!$B$10,Paramètres!$A$1:$I$89,5,0)</f>
        <v>-2.7193891583010558E-13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247.30892363953825</v>
      </c>
      <c r="AO91" s="59">
        <f t="shared" si="90"/>
        <v>248.38414731596578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1.5846026678744798</v>
      </c>
      <c r="AV91" s="21">
        <f>EXP(-LN(2)/25)*AV90+(1-EXP(-LN(2)/25))/(LN(2)/25)*Calculateur!AQ91*Calculateur!AS91*VLOOKUP('Données projet'!$B$10,Paramètres!$A$1:$I$89,3,0)*0.475*44/12</f>
        <v>2.0748216525529832</v>
      </c>
      <c r="AW91" s="21">
        <f>EXP(-LN(2)/2)*AW90+(1-EXP(-LN(2)/2))/(LN(2)/2)*AQ91*AT91*VLOOKUP('Données projet'!$B$10,Paramètres!$A$1:$I$89,3,0)*0.475*44/12</f>
        <v>3.5371324934760491E-8</v>
      </c>
      <c r="AX91" s="21">
        <f t="shared" si="60"/>
        <v>3.6594243557987878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-2.2737367544323206E-13</v>
      </c>
      <c r="BE91" s="13">
        <f>BD91*VLOOKUP('Données projet'!$B$11,Paramètres!$A$1:$I$89,3,0)*VLOOKUP('Données projet'!$B$11,Paramètres!$A$1:$I$89,5,0)</f>
        <v>-9.1631591203622526E-14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265.97106059040101</v>
      </c>
      <c r="BJ91" s="59">
        <f t="shared" si="92"/>
        <v>240.18718869578237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1.8272688735344849</v>
      </c>
      <c r="BQ91" s="21">
        <f>EXP(-LN(2)/25)*BQ90+(1-EXP(-LN(2)/25))/(LN(2)/25)*Calculateur!BL91*Calculateur!BN91*VLOOKUP('Données projet'!$B$11,Paramètres!$A$1:$I$89,3,0)*0.475*44/12</f>
        <v>2.2992130246909701</v>
      </c>
      <c r="BR91" s="21">
        <f>EXP(-LN(2)/2)*BR90+(1-EXP(-LN(2)/2))/(LN(2)/2)*BL91*BO91*VLOOKUP('Données projet'!$B$11,Paramètres!$A$1:$I$89,3,0)*0.475*44/12</f>
        <v>3.331630107649436E-8</v>
      </c>
      <c r="BS91" s="22">
        <f t="shared" si="63"/>
        <v>4.1264819315417558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-4.5474735088646412E-13</v>
      </c>
      <c r="BZ91" s="13">
        <f>BY91*VLOOKUP('Données projet'!$B$12,Paramètres!$A$1:$I$89,3,0)*VLOOKUP('Données projet'!$B$12,Paramètres!$A$1:$I$89,5,0)</f>
        <v>-2.7193891583010558E-13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247.30892363953825</v>
      </c>
      <c r="CE91" s="59">
        <f t="shared" si="94"/>
        <v>248.38414731596578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1.5846026678744798</v>
      </c>
      <c r="CL91" s="21">
        <f>EXP(-LN(2)/25)*CL90+(1-EXP(-LN(2)/25))/(LN(2)/25)*Calculateur!CG91*Calculateur!CI91*VLOOKUP('Données projet'!$B$12,Paramètres!$A$1:$I$89,3,0)*0.475*44/12</f>
        <v>2.0748216525529832</v>
      </c>
      <c r="CM91" s="21">
        <f>EXP(-LN(2)/2)*CM90+(1-EXP(-LN(2)/2))/(LN(2)/2)*CG91*CJ91*VLOOKUP('Données projet'!$B$12,Paramètres!$A$1:$I$89,3,0)*0.475*44/12</f>
        <v>3.5371324934760491E-8</v>
      </c>
      <c r="CN91" s="22">
        <f t="shared" si="66"/>
        <v>3.6594243557987878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191.77102466144095</v>
      </c>
      <c r="T92" s="59">
        <f t="shared" si="88"/>
        <v>205.57161411620217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1.9310759444788228</v>
      </c>
      <c r="AA92" s="21">
        <f>EXP(-LN(2)/25)*AA91+(1-EXP(-LN(2)/25))/(LN(2)/25)*Calculateur!V92*Calculateur!X92*VLOOKUP('Données projet'!$B$9,Paramètres!$A$1:$I$89,3,0)*0.475*44/12</f>
        <v>2.4019466716720661</v>
      </c>
      <c r="AB92" s="21">
        <f>EXP(-LN(2)/2)*AB91+(1-EXP(-LN(2)/2))/(LN(2)/2)*V92*Y92*VLOOKUP('Données projet'!$B$9,Paramètres!$A$1:$I$89,3,0)*0.475*44/12</f>
        <v>7.1724616102198425E-9</v>
      </c>
      <c r="AC92" s="22">
        <f t="shared" si="57"/>
        <v>4.3330226233233509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-4.5474735088646412E-13</v>
      </c>
      <c r="AJ92" s="13">
        <f>AI92*VLOOKUP('Données projet'!$B$10,Paramètres!$A$1:$I$89,3,0)*VLOOKUP('Données projet'!$B$10,Paramètres!$A$1:$I$89,5,0)</f>
        <v>-2.7193891583010558E-13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247.30892363953825</v>
      </c>
      <c r="AO92" s="59">
        <f t="shared" si="90"/>
        <v>248.38414731596578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1.5535295760696535</v>
      </c>
      <c r="AV92" s="21">
        <f>EXP(-LN(2)/25)*AV91+(1-EXP(-LN(2)/25))/(LN(2)/25)*Calculateur!AQ92*Calculateur!AS92*VLOOKUP('Données projet'!$B$10,Paramètres!$A$1:$I$89,3,0)*0.475*44/12</f>
        <v>2.0180855453537934</v>
      </c>
      <c r="AW92" s="21">
        <f>EXP(-LN(2)/2)*AW91+(1-EXP(-LN(2)/2))/(LN(2)/2)*AQ92*AT92*VLOOKUP('Données projet'!$B$10,Paramètres!$A$1:$I$89,3,0)*0.475*44/12</f>
        <v>2.5011303720921959E-8</v>
      </c>
      <c r="AX92" s="21">
        <f t="shared" si="60"/>
        <v>3.5716151464347505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-2.2737367544323206E-13</v>
      </c>
      <c r="BE92" s="13">
        <f>BD92*VLOOKUP('Données projet'!$B$11,Paramètres!$A$1:$I$89,3,0)*VLOOKUP('Données projet'!$B$11,Paramètres!$A$1:$I$89,5,0)</f>
        <v>-9.1631591203622526E-14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265.97106059040101</v>
      </c>
      <c r="BJ92" s="59">
        <f t="shared" si="92"/>
        <v>240.18718869578237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1.7914372454484364</v>
      </c>
      <c r="BQ92" s="21">
        <f>EXP(-LN(2)/25)*BQ91+(1-EXP(-LN(2)/25))/(LN(2)/25)*Calculateur!BL92*Calculateur!BN92*VLOOKUP('Données projet'!$B$11,Paramètres!$A$1:$I$89,3,0)*0.475*44/12</f>
        <v>2.2363409236204377</v>
      </c>
      <c r="BR92" s="21">
        <f>EXP(-LN(2)/2)*BR91+(1-EXP(-LN(2)/2))/(LN(2)/2)*BL92*BO92*VLOOKUP('Données projet'!$B$11,Paramètres!$A$1:$I$89,3,0)*0.475*44/12</f>
        <v>2.3558182415241835E-8</v>
      </c>
      <c r="BS92" s="22">
        <f t="shared" si="63"/>
        <v>4.0277781926270562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-4.5474735088646412E-13</v>
      </c>
      <c r="BZ92" s="13">
        <f>BY92*VLOOKUP('Données projet'!$B$12,Paramètres!$A$1:$I$89,3,0)*VLOOKUP('Données projet'!$B$12,Paramètres!$A$1:$I$89,5,0)</f>
        <v>-2.7193891583010558E-13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247.30892363953825</v>
      </c>
      <c r="CE92" s="59">
        <f t="shared" si="94"/>
        <v>248.38414731596578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1.5535295760696535</v>
      </c>
      <c r="CL92" s="21">
        <f>EXP(-LN(2)/25)*CL91+(1-EXP(-LN(2)/25))/(LN(2)/25)*Calculateur!CG92*Calculateur!CI92*VLOOKUP('Données projet'!$B$12,Paramètres!$A$1:$I$89,3,0)*0.475*44/12</f>
        <v>2.0180855453537934</v>
      </c>
      <c r="CM92" s="21">
        <f>EXP(-LN(2)/2)*CM91+(1-EXP(-LN(2)/2))/(LN(2)/2)*CG92*CJ92*VLOOKUP('Données projet'!$B$12,Paramètres!$A$1:$I$89,3,0)*0.475*44/12</f>
        <v>2.5011303720921959E-8</v>
      </c>
      <c r="CN92" s="22">
        <f t="shared" si="66"/>
        <v>3.5716151464347505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191.77102466144095</v>
      </c>
      <c r="T93" s="59">
        <f t="shared" si="88"/>
        <v>205.57161411620217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1.8932087230476171</v>
      </c>
      <c r="AA93" s="21">
        <f>EXP(-LN(2)/25)*AA92+(1-EXP(-LN(2)/25))/(LN(2)/25)*Calculateur!V93*Calculateur!X93*VLOOKUP('Données projet'!$B$9,Paramètres!$A$1:$I$89,3,0)*0.475*44/12</f>
        <v>2.3362653136223077</v>
      </c>
      <c r="AB93" s="21">
        <f>EXP(-LN(2)/2)*AB92+(1-EXP(-LN(2)/2))/(LN(2)/2)*V93*Y93*VLOOKUP('Données projet'!$B$9,Paramètres!$A$1:$I$89,3,0)*0.475*44/12</f>
        <v>5.0716962423866344E-9</v>
      </c>
      <c r="AC93" s="22">
        <f t="shared" si="57"/>
        <v>4.2294740417416206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-4.5474735088646412E-13</v>
      </c>
      <c r="AJ93" s="13">
        <f>AI93*VLOOKUP('Données projet'!$B$10,Paramètres!$A$1:$I$89,3,0)*VLOOKUP('Données projet'!$B$10,Paramètres!$A$1:$I$89,5,0)</f>
        <v>-2.7193891583010558E-13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247.30892363953825</v>
      </c>
      <c r="AO93" s="59">
        <f t="shared" si="90"/>
        <v>248.38414731596578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1.5230658086424052</v>
      </c>
      <c r="AV93" s="21">
        <f>EXP(-LN(2)/25)*AV92+(1-EXP(-LN(2)/25))/(LN(2)/25)*Calculateur!AQ93*Calculateur!AS93*VLOOKUP('Données projet'!$B$10,Paramètres!$A$1:$I$89,3,0)*0.475*44/12</f>
        <v>1.9629008899895874</v>
      </c>
      <c r="AW93" s="21">
        <f>EXP(-LN(2)/2)*AW92+(1-EXP(-LN(2)/2))/(LN(2)/2)*AQ93*AT93*VLOOKUP('Données projet'!$B$10,Paramètres!$A$1:$I$89,3,0)*0.475*44/12</f>
        <v>1.7685662467380245E-8</v>
      </c>
      <c r="AX93" s="21">
        <f t="shared" si="60"/>
        <v>3.4859667163176549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-2.2737367544323206E-13</v>
      </c>
      <c r="BE93" s="13">
        <f>BD93*VLOOKUP('Données projet'!$B$11,Paramètres!$A$1:$I$89,3,0)*VLOOKUP('Données projet'!$B$11,Paramètres!$A$1:$I$89,5,0)</f>
        <v>-9.1631591203622526E-14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265.97106059040101</v>
      </c>
      <c r="BJ93" s="59">
        <f t="shared" si="92"/>
        <v>240.18718869578237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1.7563082537340202</v>
      </c>
      <c r="BQ93" s="21">
        <f>EXP(-LN(2)/25)*BQ92+(1-EXP(-LN(2)/25))/(LN(2)/25)*Calculateur!BL93*Calculateur!BN93*VLOOKUP('Données projet'!$B$11,Paramètres!$A$1:$I$89,3,0)*0.475*44/12</f>
        <v>2.1751880634599789</v>
      </c>
      <c r="BR93" s="21">
        <f>EXP(-LN(2)/2)*BR92+(1-EXP(-LN(2)/2))/(LN(2)/2)*BL93*BO93*VLOOKUP('Données projet'!$B$11,Paramètres!$A$1:$I$89,3,0)*0.475*44/12</f>
        <v>1.665815053824718E-8</v>
      </c>
      <c r="BS93" s="22">
        <f t="shared" si="63"/>
        <v>3.9314963338521496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-4.5474735088646412E-13</v>
      </c>
      <c r="BZ93" s="13">
        <f>BY93*VLOOKUP('Données projet'!$B$12,Paramètres!$A$1:$I$89,3,0)*VLOOKUP('Données projet'!$B$12,Paramètres!$A$1:$I$89,5,0)</f>
        <v>-2.7193891583010558E-13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247.30892363953825</v>
      </c>
      <c r="CE93" s="59">
        <f t="shared" si="94"/>
        <v>248.38414731596578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1.5230658086424052</v>
      </c>
      <c r="CL93" s="21">
        <f>EXP(-LN(2)/25)*CL92+(1-EXP(-LN(2)/25))/(LN(2)/25)*Calculateur!CG93*Calculateur!CI93*VLOOKUP('Données projet'!$B$12,Paramètres!$A$1:$I$89,3,0)*0.475*44/12</f>
        <v>1.9629008899895874</v>
      </c>
      <c r="CM93" s="21">
        <f>EXP(-LN(2)/2)*CM92+(1-EXP(-LN(2)/2))/(LN(2)/2)*CG93*CJ93*VLOOKUP('Données projet'!$B$12,Paramètres!$A$1:$I$89,3,0)*0.475*44/12</f>
        <v>1.7685662467380245E-8</v>
      </c>
      <c r="CN93" s="22">
        <f t="shared" si="66"/>
        <v>3.4859667163176549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191.77102466144095</v>
      </c>
      <c r="T94" s="59">
        <f t="shared" si="88"/>
        <v>205.57161411620217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1.856084054731953</v>
      </c>
      <c r="AA94" s="21">
        <f>EXP(-LN(2)/25)*AA93+(1-EXP(-LN(2)/25))/(LN(2)/25)*Calculateur!V94*Calculateur!X94*VLOOKUP('Données projet'!$B$9,Paramètres!$A$1:$I$89,3,0)*0.475*44/12</f>
        <v>2.2723800157624523</v>
      </c>
      <c r="AB94" s="21">
        <f>EXP(-LN(2)/2)*AB93+(1-EXP(-LN(2)/2))/(LN(2)/2)*V94*Y94*VLOOKUP('Données projet'!$B$9,Paramètres!$A$1:$I$89,3,0)*0.475*44/12</f>
        <v>3.5862308051099212E-9</v>
      </c>
      <c r="AC94" s="22">
        <f t="shared" si="57"/>
        <v>4.128464074080636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-4.5474735088646412E-13</v>
      </c>
      <c r="AJ94" s="13">
        <f>AI94*VLOOKUP('Données projet'!$B$10,Paramètres!$A$1:$I$89,3,0)*VLOOKUP('Données projet'!$B$10,Paramètres!$A$1:$I$89,5,0)</f>
        <v>-2.7193891583010558E-13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247.30892363953825</v>
      </c>
      <c r="AO94" s="59">
        <f t="shared" si="90"/>
        <v>248.38414731596578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1.4931994171133418</v>
      </c>
      <c r="AV94" s="21">
        <f>EXP(-LN(2)/25)*AV93+(1-EXP(-LN(2)/25))/(LN(2)/25)*Calculateur!AQ94*Calculateur!AS94*VLOOKUP('Données projet'!$B$10,Paramètres!$A$1:$I$89,3,0)*0.475*44/12</f>
        <v>1.9092252619283507</v>
      </c>
      <c r="AW94" s="21">
        <f>EXP(-LN(2)/2)*AW93+(1-EXP(-LN(2)/2))/(LN(2)/2)*AQ94*AT94*VLOOKUP('Données projet'!$B$10,Paramètres!$A$1:$I$89,3,0)*0.475*44/12</f>
        <v>1.250565186046098E-8</v>
      </c>
      <c r="AX94" s="21">
        <f t="shared" si="60"/>
        <v>3.4024246915473446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-2.2737367544323206E-13</v>
      </c>
      <c r="BE94" s="13">
        <f>BD94*VLOOKUP('Données projet'!$B$11,Paramètres!$A$1:$I$89,3,0)*VLOOKUP('Données projet'!$B$11,Paramètres!$A$1:$I$89,5,0)</f>
        <v>-9.1631591203622526E-14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265.97106059040101</v>
      </c>
      <c r="BJ94" s="59">
        <f t="shared" si="92"/>
        <v>240.18718869578237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1.7218681201205546</v>
      </c>
      <c r="BQ94" s="21">
        <f>EXP(-LN(2)/25)*BQ93+(1-EXP(-LN(2)/25))/(LN(2)/25)*Calculateur!BL94*Calculateur!BN94*VLOOKUP('Données projet'!$B$11,Paramètres!$A$1:$I$89,3,0)*0.475*44/12</f>
        <v>2.1157074314764972</v>
      </c>
      <c r="BR94" s="21">
        <f>EXP(-LN(2)/2)*BR93+(1-EXP(-LN(2)/2))/(LN(2)/2)*BL94*BO94*VLOOKUP('Données projet'!$B$11,Paramètres!$A$1:$I$89,3,0)*0.475*44/12</f>
        <v>1.1779091207620918E-8</v>
      </c>
      <c r="BS94" s="22">
        <f t="shared" si="63"/>
        <v>3.8375755633761428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-4.5474735088646412E-13</v>
      </c>
      <c r="BZ94" s="13">
        <f>BY94*VLOOKUP('Données projet'!$B$12,Paramètres!$A$1:$I$89,3,0)*VLOOKUP('Données projet'!$B$12,Paramètres!$A$1:$I$89,5,0)</f>
        <v>-2.7193891583010558E-13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247.30892363953825</v>
      </c>
      <c r="CE94" s="59">
        <f t="shared" si="94"/>
        <v>248.38414731596578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1.4931994171133418</v>
      </c>
      <c r="CL94" s="21">
        <f>EXP(-LN(2)/25)*CL93+(1-EXP(-LN(2)/25))/(LN(2)/25)*Calculateur!CG94*Calculateur!CI94*VLOOKUP('Données projet'!$B$12,Paramètres!$A$1:$I$89,3,0)*0.475*44/12</f>
        <v>1.9092252619283507</v>
      </c>
      <c r="CM94" s="21">
        <f>EXP(-LN(2)/2)*CM93+(1-EXP(-LN(2)/2))/(LN(2)/2)*CG94*CJ94*VLOOKUP('Données projet'!$B$12,Paramètres!$A$1:$I$89,3,0)*0.475*44/12</f>
        <v>1.250565186046098E-8</v>
      </c>
      <c r="CN94" s="22">
        <f t="shared" si="66"/>
        <v>3.4024246915473446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191.77102466144095</v>
      </c>
      <c r="T95" s="59">
        <f t="shared" si="88"/>
        <v>205.57161411620217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1.8196873785181473</v>
      </c>
      <c r="AA95" s="21">
        <f>EXP(-LN(2)/25)*AA94+(1-EXP(-LN(2)/25))/(LN(2)/25)*Calculateur!V95*Calculateur!X95*VLOOKUP('Données projet'!$B$9,Paramètres!$A$1:$I$89,3,0)*0.475*44/12</f>
        <v>2.2102416647321568</v>
      </c>
      <c r="AB95" s="21">
        <f>EXP(-LN(2)/2)*AB94+(1-EXP(-LN(2)/2))/(LN(2)/2)*V95*Y95*VLOOKUP('Données projet'!$B$9,Paramètres!$A$1:$I$89,3,0)*0.475*44/12</f>
        <v>2.5358481211933172E-9</v>
      </c>
      <c r="AC95" s="22">
        <f t="shared" si="57"/>
        <v>4.0299290457861519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-4.5474735088646412E-13</v>
      </c>
      <c r="AJ95" s="13">
        <f>AI95*VLOOKUP('Données projet'!$B$10,Paramètres!$A$1:$I$89,3,0)*VLOOKUP('Données projet'!$B$10,Paramètres!$A$1:$I$89,5,0)</f>
        <v>-2.7193891583010558E-13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247.30892363953825</v>
      </c>
      <c r="AO95" s="59">
        <f t="shared" si="90"/>
        <v>248.38414731596578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1.4639186873054633</v>
      </c>
      <c r="AV95" s="21">
        <f>EXP(-LN(2)/25)*AV94+(1-EXP(-LN(2)/25))/(LN(2)/25)*Calculateur!AQ95*Calculateur!AS95*VLOOKUP('Données projet'!$B$10,Paramètres!$A$1:$I$89,3,0)*0.475*44/12</f>
        <v>1.857017396739127</v>
      </c>
      <c r="AW95" s="21">
        <f>EXP(-LN(2)/2)*AW94+(1-EXP(-LN(2)/2))/(LN(2)/2)*AQ95*AT95*VLOOKUP('Données projet'!$B$10,Paramètres!$A$1:$I$89,3,0)*0.475*44/12</f>
        <v>8.8428312336901227E-9</v>
      </c>
      <c r="AX95" s="21">
        <f t="shared" si="60"/>
        <v>3.3209360928874219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-2.2737367544323206E-13</v>
      </c>
      <c r="BE95" s="13">
        <f>BD95*VLOOKUP('Données projet'!$B$11,Paramètres!$A$1:$I$89,3,0)*VLOOKUP('Données projet'!$B$11,Paramètres!$A$1:$I$89,5,0)</f>
        <v>-9.1631591203622526E-14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265.97106059040101</v>
      </c>
      <c r="BJ95" s="59">
        <f t="shared" si="92"/>
        <v>240.18718869578237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1.6881033365208415</v>
      </c>
      <c r="BQ95" s="21">
        <f>EXP(-LN(2)/25)*BQ94+(1-EXP(-LN(2)/25))/(LN(2)/25)*Calculateur!BL95*Calculateur!BN95*VLOOKUP('Données projet'!$B$11,Paramètres!$A$1:$I$89,3,0)*0.475*44/12</f>
        <v>2.0578533005025541</v>
      </c>
      <c r="BR95" s="21">
        <f>EXP(-LN(2)/2)*BR94+(1-EXP(-LN(2)/2))/(LN(2)/2)*BL95*BO95*VLOOKUP('Données projet'!$B$11,Paramètres!$A$1:$I$89,3,0)*0.475*44/12</f>
        <v>8.3290752691235899E-9</v>
      </c>
      <c r="BS95" s="22">
        <f t="shared" si="63"/>
        <v>3.7459566453524706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-4.5474735088646412E-13</v>
      </c>
      <c r="BZ95" s="13">
        <f>BY95*VLOOKUP('Données projet'!$B$12,Paramètres!$A$1:$I$89,3,0)*VLOOKUP('Données projet'!$B$12,Paramètres!$A$1:$I$89,5,0)</f>
        <v>-2.7193891583010558E-13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247.30892363953825</v>
      </c>
      <c r="CE95" s="59">
        <f t="shared" si="94"/>
        <v>248.38414731596578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1.4639186873054633</v>
      </c>
      <c r="CL95" s="21">
        <f>EXP(-LN(2)/25)*CL94+(1-EXP(-LN(2)/25))/(LN(2)/25)*Calculateur!CG95*Calculateur!CI95*VLOOKUP('Données projet'!$B$12,Paramètres!$A$1:$I$89,3,0)*0.475*44/12</f>
        <v>1.857017396739127</v>
      </c>
      <c r="CM95" s="21">
        <f>EXP(-LN(2)/2)*CM94+(1-EXP(-LN(2)/2))/(LN(2)/2)*CG95*CJ95*VLOOKUP('Données projet'!$B$12,Paramètres!$A$1:$I$89,3,0)*0.475*44/12</f>
        <v>8.8428312336901227E-9</v>
      </c>
      <c r="CN95" s="22">
        <f t="shared" si="66"/>
        <v>3.3209360928874219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191.77102466144095</v>
      </c>
      <c r="T96" s="59">
        <f t="shared" si="88"/>
        <v>205.57161411620217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1.7840044189251139</v>
      </c>
      <c r="AA96" s="21">
        <f>EXP(-LN(2)/25)*AA95+(1-EXP(-LN(2)/25))/(LN(2)/25)*Calculateur!V96*Calculateur!X96*VLOOKUP('Données projet'!$B$9,Paramètres!$A$1:$I$89,3,0)*0.475*44/12</f>
        <v>2.1498024901784984</v>
      </c>
      <c r="AB96" s="21">
        <f>EXP(-LN(2)/2)*AB95+(1-EXP(-LN(2)/2))/(LN(2)/2)*V96*Y96*VLOOKUP('Données projet'!$B$9,Paramètres!$A$1:$I$89,3,0)*0.475*44/12</f>
        <v>1.7931154025549606E-9</v>
      </c>
      <c r="AC96" s="22">
        <f t="shared" si="57"/>
        <v>3.933806910896728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-4.5474735088646412E-13</v>
      </c>
      <c r="AJ96" s="13">
        <f>AI96*VLOOKUP('Données projet'!$B$10,Paramètres!$A$1:$I$89,3,0)*VLOOKUP('Données projet'!$B$10,Paramètres!$A$1:$I$89,5,0)</f>
        <v>-2.7193891583010558E-13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247.30892363953825</v>
      </c>
      <c r="AO96" s="59">
        <f t="shared" si="90"/>
        <v>248.38414731596578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1.4352121347496356</v>
      </c>
      <c r="AV96" s="21">
        <f>EXP(-LN(2)/25)*AV95+(1-EXP(-LN(2)/25))/(LN(2)/25)*Calculateur!AQ96*Calculateur!AS96*VLOOKUP('Données projet'!$B$10,Paramètres!$A$1:$I$89,3,0)*0.475*44/12</f>
        <v>1.8062371583689949</v>
      </c>
      <c r="AW96" s="21">
        <f>EXP(-LN(2)/2)*AW95+(1-EXP(-LN(2)/2))/(LN(2)/2)*AQ96*AT96*VLOOKUP('Données projet'!$B$10,Paramètres!$A$1:$I$89,3,0)*0.475*44/12</f>
        <v>6.2528259302304898E-9</v>
      </c>
      <c r="AX96" s="21">
        <f t="shared" si="60"/>
        <v>3.2414492993714563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-2.2737367544323206E-13</v>
      </c>
      <c r="BE96" s="13">
        <f>BD96*VLOOKUP('Données projet'!$B$11,Paramètres!$A$1:$I$89,3,0)*VLOOKUP('Données projet'!$B$11,Paramètres!$A$1:$I$89,5,0)</f>
        <v>-9.1631591203622526E-14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265.97106059040101</v>
      </c>
      <c r="BJ96" s="59">
        <f t="shared" si="92"/>
        <v>240.18718869578237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1.6550006597330345</v>
      </c>
      <c r="BQ96" s="21">
        <f>EXP(-LN(2)/25)*BQ95+(1-EXP(-LN(2)/25))/(LN(2)/25)*Calculateur!BL96*Calculateur!BN96*VLOOKUP('Données projet'!$B$11,Paramètres!$A$1:$I$89,3,0)*0.475*44/12</f>
        <v>2.0015811937825099</v>
      </c>
      <c r="BR96" s="21">
        <f>EXP(-LN(2)/2)*BR95+(1-EXP(-LN(2)/2))/(LN(2)/2)*BL96*BO96*VLOOKUP('Données projet'!$B$11,Paramètres!$A$1:$I$89,3,0)*0.475*44/12</f>
        <v>5.8895456038104588E-9</v>
      </c>
      <c r="BS96" s="22">
        <f t="shared" si="63"/>
        <v>3.6565818594050903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-4.5474735088646412E-13</v>
      </c>
      <c r="BZ96" s="13">
        <f>BY96*VLOOKUP('Données projet'!$B$12,Paramètres!$A$1:$I$89,3,0)*VLOOKUP('Données projet'!$B$12,Paramètres!$A$1:$I$89,5,0)</f>
        <v>-2.7193891583010558E-13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247.30892363953825</v>
      </c>
      <c r="CE96" s="59">
        <f t="shared" si="94"/>
        <v>248.38414731596578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1.4352121347496356</v>
      </c>
      <c r="CL96" s="21">
        <f>EXP(-LN(2)/25)*CL95+(1-EXP(-LN(2)/25))/(LN(2)/25)*Calculateur!CG96*Calculateur!CI96*VLOOKUP('Données projet'!$B$12,Paramètres!$A$1:$I$89,3,0)*0.475*44/12</f>
        <v>1.8062371583689949</v>
      </c>
      <c r="CM96" s="21">
        <f>EXP(-LN(2)/2)*CM95+(1-EXP(-LN(2)/2))/(LN(2)/2)*CG96*CJ96*VLOOKUP('Données projet'!$B$12,Paramètres!$A$1:$I$89,3,0)*0.475*44/12</f>
        <v>6.2528259302304898E-9</v>
      </c>
      <c r="CN96" s="22">
        <f t="shared" si="66"/>
        <v>3.2414492993714563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191.77102466144095</v>
      </c>
      <c r="T97" s="59">
        <f t="shared" si="88"/>
        <v>205.57161411620217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1.7490211804052436</v>
      </c>
      <c r="AA97" s="21">
        <f>EXP(-LN(2)/25)*AA96+(1-EXP(-LN(2)/25))/(LN(2)/25)*Calculateur!V97*Calculateur!X97*VLOOKUP('Données projet'!$B$9,Paramètres!$A$1:$I$89,3,0)*0.475*44/12</f>
        <v>2.0910160280313681</v>
      </c>
      <c r="AB97" s="21">
        <f>EXP(-LN(2)/2)*AB96+(1-EXP(-LN(2)/2))/(LN(2)/2)*V97*Y97*VLOOKUP('Données projet'!$B$9,Paramètres!$A$1:$I$89,3,0)*0.475*44/12</f>
        <v>1.2679240605966586E-9</v>
      </c>
      <c r="AC97" s="22">
        <f t="shared" si="57"/>
        <v>3.8400372097045357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-4.5474735088646412E-13</v>
      </c>
      <c r="AJ97" s="13">
        <f>AI97*VLOOKUP('Données projet'!$B$10,Paramètres!$A$1:$I$89,3,0)*VLOOKUP('Données projet'!$B$10,Paramètres!$A$1:$I$89,5,0)</f>
        <v>-2.7193891583010558E-13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247.30892363953825</v>
      </c>
      <c r="AO97" s="59">
        <f t="shared" si="90"/>
        <v>248.38414731596578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1.4070685001801595</v>
      </c>
      <c r="AV97" s="21">
        <f>EXP(-LN(2)/25)*AV96+(1-EXP(-LN(2)/25))/(LN(2)/25)*Calculateur!AQ97*Calculateur!AS97*VLOOKUP('Données projet'!$B$10,Paramètres!$A$1:$I$89,3,0)*0.475*44/12</f>
        <v>1.7568455082875107</v>
      </c>
      <c r="AW97" s="21">
        <f>EXP(-LN(2)/2)*AW96+(1-EXP(-LN(2)/2))/(LN(2)/2)*AQ97*AT97*VLOOKUP('Données projet'!$B$10,Paramètres!$A$1:$I$89,3,0)*0.475*44/12</f>
        <v>4.4214156168450613E-9</v>
      </c>
      <c r="AX97" s="21">
        <f t="shared" si="60"/>
        <v>3.1639140128890859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-2.2737367544323206E-13</v>
      </c>
      <c r="BE97" s="13">
        <f>BD97*VLOOKUP('Données projet'!$B$11,Paramètres!$A$1:$I$89,3,0)*VLOOKUP('Données projet'!$B$11,Paramètres!$A$1:$I$89,5,0)</f>
        <v>-9.1631591203622526E-14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265.97106059040101</v>
      </c>
      <c r="BJ97" s="59">
        <f t="shared" si="92"/>
        <v>240.18718869578237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1.6225471062463972</v>
      </c>
      <c r="BQ97" s="21">
        <f>EXP(-LN(2)/25)*BQ96+(1-EXP(-LN(2)/25))/(LN(2)/25)*Calculateur!BL97*Calculateur!BN97*VLOOKUP('Données projet'!$B$11,Paramètres!$A$1:$I$89,3,0)*0.475*44/12</f>
        <v>1.9468478507799469</v>
      </c>
      <c r="BR97" s="21">
        <f>EXP(-LN(2)/2)*BR96+(1-EXP(-LN(2)/2))/(LN(2)/2)*BL97*BO97*VLOOKUP('Données projet'!$B$11,Paramètres!$A$1:$I$89,3,0)*0.475*44/12</f>
        <v>4.164537634561795E-9</v>
      </c>
      <c r="BS97" s="22">
        <f t="shared" si="63"/>
        <v>3.569394961190882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-4.5474735088646412E-13</v>
      </c>
      <c r="BZ97" s="13">
        <f>BY97*VLOOKUP('Données projet'!$B$12,Paramètres!$A$1:$I$89,3,0)*VLOOKUP('Données projet'!$B$12,Paramètres!$A$1:$I$89,5,0)</f>
        <v>-2.7193891583010558E-13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247.30892363953825</v>
      </c>
      <c r="CE97" s="59">
        <f t="shared" si="94"/>
        <v>248.38414731596578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1.4070685001801595</v>
      </c>
      <c r="CL97" s="21">
        <f>EXP(-LN(2)/25)*CL96+(1-EXP(-LN(2)/25))/(LN(2)/25)*Calculateur!CG97*Calculateur!CI97*VLOOKUP('Données projet'!$B$12,Paramètres!$A$1:$I$89,3,0)*0.475*44/12</f>
        <v>1.7568455082875107</v>
      </c>
      <c r="CM97" s="21">
        <f>EXP(-LN(2)/2)*CM96+(1-EXP(-LN(2)/2))/(LN(2)/2)*CG97*CJ97*VLOOKUP('Données projet'!$B$12,Paramètres!$A$1:$I$89,3,0)*0.475*44/12</f>
        <v>4.4214156168450613E-9</v>
      </c>
      <c r="CN97" s="22">
        <f t="shared" si="66"/>
        <v>3.1639140128890859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191.77102466144095</v>
      </c>
      <c r="T98" s="59">
        <f t="shared" si="88"/>
        <v>205.57161411620217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1.7147239418550793</v>
      </c>
      <c r="AA98" s="21">
        <f>EXP(-LN(2)/25)*AA97+(1-EXP(-LN(2)/25))/(LN(2)/25)*Calculateur!V98*Calculateur!X98*VLOOKUP('Données projet'!$B$9,Paramètres!$A$1:$I$89,3,0)*0.475*44/12</f>
        <v>2.0338370847830967</v>
      </c>
      <c r="AB98" s="21">
        <f>EXP(-LN(2)/2)*AB97+(1-EXP(-LN(2)/2))/(LN(2)/2)*V98*Y98*VLOOKUP('Données projet'!$B$9,Paramètres!$A$1:$I$89,3,0)*0.475*44/12</f>
        <v>8.9655770127748031E-10</v>
      </c>
      <c r="AC98" s="22">
        <f t="shared" si="57"/>
        <v>3.7485610275347332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-4.5474735088646412E-13</v>
      </c>
      <c r="AJ98" s="13">
        <f>AI98*VLOOKUP('Données projet'!$B$10,Paramètres!$A$1:$I$89,3,0)*VLOOKUP('Données projet'!$B$10,Paramètres!$A$1:$I$89,5,0)</f>
        <v>-2.7193891583010558E-13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247.30892363953825</v>
      </c>
      <c r="AO98" s="59">
        <f t="shared" si="90"/>
        <v>248.38414731596578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1.3794767451186687</v>
      </c>
      <c r="AV98" s="21">
        <f>EXP(-LN(2)/25)*AV97+(1-EXP(-LN(2)/25))/(LN(2)/25)*Calculateur!AQ98*Calculateur!AS98*VLOOKUP('Données projet'!$B$10,Paramètres!$A$1:$I$89,3,0)*0.475*44/12</f>
        <v>1.7088044754748988</v>
      </c>
      <c r="AW98" s="21">
        <f>EXP(-LN(2)/2)*AW97+(1-EXP(-LN(2)/2))/(LN(2)/2)*AQ98*AT98*VLOOKUP('Données projet'!$B$10,Paramètres!$A$1:$I$89,3,0)*0.475*44/12</f>
        <v>3.1264129651152449E-9</v>
      </c>
      <c r="AX98" s="21">
        <f t="shared" si="60"/>
        <v>3.0882812237199806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-2.2737367544323206E-13</v>
      </c>
      <c r="BE98" s="13">
        <f>BD98*VLOOKUP('Données projet'!$B$11,Paramètres!$A$1:$I$89,3,0)*VLOOKUP('Données projet'!$B$11,Paramètres!$A$1:$I$89,5,0)</f>
        <v>-9.1631591203622526E-14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265.97106059040101</v>
      </c>
      <c r="BJ98" s="59">
        <f t="shared" si="92"/>
        <v>240.18718869578237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1.5907299471489198</v>
      </c>
      <c r="BQ98" s="21">
        <f>EXP(-LN(2)/25)*BQ97+(1-EXP(-LN(2)/25))/(LN(2)/25)*Calculateur!BL98*Calculateur!BN98*VLOOKUP('Données projet'!$B$11,Paramètres!$A$1:$I$89,3,0)*0.475*44/12</f>
        <v>1.8936111939200904</v>
      </c>
      <c r="BR98" s="21">
        <f>EXP(-LN(2)/2)*BR97+(1-EXP(-LN(2)/2))/(LN(2)/2)*BL98*BO98*VLOOKUP('Données projet'!$B$11,Paramètres!$A$1:$I$89,3,0)*0.475*44/12</f>
        <v>2.9447728019052294E-9</v>
      </c>
      <c r="BS98" s="22">
        <f t="shared" si="63"/>
        <v>3.4843411440137833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-4.5474735088646412E-13</v>
      </c>
      <c r="BZ98" s="13">
        <f>BY98*VLOOKUP('Données projet'!$B$12,Paramètres!$A$1:$I$89,3,0)*VLOOKUP('Données projet'!$B$12,Paramètres!$A$1:$I$89,5,0)</f>
        <v>-2.7193891583010558E-13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247.30892363953825</v>
      </c>
      <c r="CE98" s="59">
        <f t="shared" si="94"/>
        <v>248.38414731596578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1.3794767451186687</v>
      </c>
      <c r="CL98" s="21">
        <f>EXP(-LN(2)/25)*CL97+(1-EXP(-LN(2)/25))/(LN(2)/25)*Calculateur!CG98*Calculateur!CI98*VLOOKUP('Données projet'!$B$12,Paramètres!$A$1:$I$89,3,0)*0.475*44/12</f>
        <v>1.7088044754748988</v>
      </c>
      <c r="CM98" s="21">
        <f>EXP(-LN(2)/2)*CM97+(1-EXP(-LN(2)/2))/(LN(2)/2)*CG98*CJ98*VLOOKUP('Données projet'!$B$12,Paramètres!$A$1:$I$89,3,0)*0.475*44/12</f>
        <v>3.1264129651152449E-9</v>
      </c>
      <c r="CN98" s="22">
        <f t="shared" si="66"/>
        <v>3.0882812237199806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191.77102466144095</v>
      </c>
      <c r="T99" s="59">
        <f t="shared" si="88"/>
        <v>205.57161411620217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1.6810992512336338</v>
      </c>
      <c r="AA99" s="21">
        <f>EXP(-LN(2)/25)*AA98+(1-EXP(-LN(2)/25))/(LN(2)/25)*Calculateur!V99*Calculateur!X99*VLOOKUP('Données projet'!$B$9,Paramètres!$A$1:$I$89,3,0)*0.475*44/12</f>
        <v>1.978221702744859</v>
      </c>
      <c r="AB99" s="21">
        <f>EXP(-LN(2)/2)*AB98+(1-EXP(-LN(2)/2))/(LN(2)/2)*V99*Y99*VLOOKUP('Données projet'!$B$9,Paramètres!$A$1:$I$89,3,0)*0.475*44/12</f>
        <v>6.339620302983293E-10</v>
      </c>
      <c r="AC99" s="22">
        <f t="shared" si="57"/>
        <v>3.659320954612455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-4.5474735088646412E-13</v>
      </c>
      <c r="AJ99" s="13">
        <f>AI99*VLOOKUP('Données projet'!$B$10,Paramètres!$A$1:$I$89,3,0)*VLOOKUP('Données projet'!$B$10,Paramètres!$A$1:$I$89,5,0)</f>
        <v>-2.7193891583010558E-13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247.30892363953825</v>
      </c>
      <c r="AO99" s="59">
        <f t="shared" si="90"/>
        <v>248.38414731596578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1.352426047544625</v>
      </c>
      <c r="AV99" s="21">
        <f>EXP(-LN(2)/25)*AV98+(1-EXP(-LN(2)/25))/(LN(2)/25)*Calculateur!AQ99*Calculateur!AS99*VLOOKUP('Données projet'!$B$10,Paramètres!$A$1:$I$89,3,0)*0.475*44/12</f>
        <v>1.6620771272309158</v>
      </c>
      <c r="AW99" s="21">
        <f>EXP(-LN(2)/2)*AW98+(1-EXP(-LN(2)/2))/(LN(2)/2)*AQ99*AT99*VLOOKUP('Données projet'!$B$10,Paramètres!$A$1:$I$89,3,0)*0.475*44/12</f>
        <v>2.2107078084225307E-9</v>
      </c>
      <c r="AX99" s="21">
        <f t="shared" si="60"/>
        <v>3.0145031769862487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-2.2737367544323206E-13</v>
      </c>
      <c r="BE99" s="13">
        <f>BD99*VLOOKUP('Données projet'!$B$11,Paramètres!$A$1:$I$89,3,0)*VLOOKUP('Données projet'!$B$11,Paramètres!$A$1:$I$89,5,0)</f>
        <v>-9.1631591203622526E-14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265.97106059040101</v>
      </c>
      <c r="BJ99" s="59">
        <f t="shared" si="92"/>
        <v>240.18718869578237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1.5595367031347931</v>
      </c>
      <c r="BQ99" s="21">
        <f>EXP(-LN(2)/25)*BQ98+(1-EXP(-LN(2)/25))/(LN(2)/25)*Calculateur!BL99*Calculateur!BN99*VLOOKUP('Données projet'!$B$11,Paramètres!$A$1:$I$89,3,0)*0.475*44/12</f>
        <v>1.8418302962416606</v>
      </c>
      <c r="BR99" s="21">
        <f>EXP(-LN(2)/2)*BR98+(1-EXP(-LN(2)/2))/(LN(2)/2)*BL99*BO99*VLOOKUP('Données projet'!$B$11,Paramètres!$A$1:$I$89,3,0)*0.475*44/12</f>
        <v>2.0822688172808975E-9</v>
      </c>
      <c r="BS99" s="22">
        <f t="shared" si="63"/>
        <v>3.4013670014587229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-4.5474735088646412E-13</v>
      </c>
      <c r="BZ99" s="13">
        <f>BY99*VLOOKUP('Données projet'!$B$12,Paramètres!$A$1:$I$89,3,0)*VLOOKUP('Données projet'!$B$12,Paramètres!$A$1:$I$89,5,0)</f>
        <v>-2.7193891583010558E-13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247.30892363953825</v>
      </c>
      <c r="CE99" s="59">
        <f t="shared" si="94"/>
        <v>248.38414731596578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1.352426047544625</v>
      </c>
      <c r="CL99" s="21">
        <f>EXP(-LN(2)/25)*CL98+(1-EXP(-LN(2)/25))/(LN(2)/25)*Calculateur!CG99*Calculateur!CI99*VLOOKUP('Données projet'!$B$12,Paramètres!$A$1:$I$89,3,0)*0.475*44/12</f>
        <v>1.6620771272309158</v>
      </c>
      <c r="CM99" s="21">
        <f>EXP(-LN(2)/2)*CM98+(1-EXP(-LN(2)/2))/(LN(2)/2)*CG99*CJ99*VLOOKUP('Données projet'!$B$12,Paramètres!$A$1:$I$89,3,0)*0.475*44/12</f>
        <v>2.2107078084225307E-9</v>
      </c>
      <c r="CN99" s="22">
        <f t="shared" si="66"/>
        <v>3.0145031769862487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191.77102466144095</v>
      </c>
      <c r="T100" s="59">
        <f t="shared" si="88"/>
        <v>205.57161411620217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1.6481339202862386</v>
      </c>
      <c r="AA100" s="21">
        <f>EXP(-LN(2)/25)*AA99+(1-EXP(-LN(2)/25))/(LN(2)/25)*Calculateur!V100*Calculateur!X100*VLOOKUP('Données projet'!$B$9,Paramètres!$A$1:$I$89,3,0)*0.475*44/12</f>
        <v>1.9241271262531427</v>
      </c>
      <c r="AB100" s="21">
        <f>EXP(-LN(2)/2)*AB99+(1-EXP(-LN(2)/2))/(LN(2)/2)*V100*Y100*VLOOKUP('Données projet'!$B$9,Paramètres!$A$1:$I$89,3,0)*0.475*44/12</f>
        <v>4.4827885063874015E-10</v>
      </c>
      <c r="AC100" s="22">
        <f t="shared" si="57"/>
        <v>3.5722610469876601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-4.5474735088646412E-13</v>
      </c>
      <c r="AJ100" s="13">
        <f>AI100*VLOOKUP('Données projet'!$B$10,Paramètres!$A$1:$I$89,3,0)*VLOOKUP('Données projet'!$B$10,Paramètres!$A$1:$I$89,5,0)</f>
        <v>-2.7193891583010558E-13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247.30892363953825</v>
      </c>
      <c r="AO100" s="59">
        <f t="shared" si="90"/>
        <v>248.38414731596578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1.325905797650712</v>
      </c>
      <c r="AV100" s="21">
        <f>EXP(-LN(2)/25)*AV99+(1-EXP(-LN(2)/25))/(LN(2)/25)*Calculateur!AQ100*Calculateur!AS100*VLOOKUP('Données projet'!$B$10,Paramètres!$A$1:$I$89,3,0)*0.475*44/12</f>
        <v>1.616627540781949</v>
      </c>
      <c r="AW100" s="21">
        <f>EXP(-LN(2)/2)*AW99+(1-EXP(-LN(2)/2))/(LN(2)/2)*AQ100*AT100*VLOOKUP('Données projet'!$B$10,Paramètres!$A$1:$I$89,3,0)*0.475*44/12</f>
        <v>1.5632064825576225E-9</v>
      </c>
      <c r="AX100" s="21">
        <f t="shared" si="60"/>
        <v>2.9425333399958675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-2.2737367544323206E-13</v>
      </c>
      <c r="BE100" s="13">
        <f>BD100*VLOOKUP('Données projet'!$B$11,Paramètres!$A$1:$I$89,3,0)*VLOOKUP('Données projet'!$B$11,Paramètres!$A$1:$I$89,5,0)</f>
        <v>-9.1631591203622526E-14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265.97106059040101</v>
      </c>
      <c r="BJ100" s="59">
        <f t="shared" si="92"/>
        <v>240.18718869578237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1.5289551396097831</v>
      </c>
      <c r="BQ100" s="21">
        <f>EXP(-LN(2)/25)*BQ99+(1-EXP(-LN(2)/25))/(LN(2)/25)*Calculateur!BL100*Calculateur!BN100*VLOOKUP('Données projet'!$B$11,Paramètres!$A$1:$I$89,3,0)*0.475*44/12</f>
        <v>1.7914653499332867</v>
      </c>
      <c r="BR100" s="21">
        <f>EXP(-LN(2)/2)*BR99+(1-EXP(-LN(2)/2))/(LN(2)/2)*BL100*BO100*VLOOKUP('Données projet'!$B$11,Paramètres!$A$1:$I$89,3,0)*0.475*44/12</f>
        <v>1.4723864009526147E-9</v>
      </c>
      <c r="BS100" s="22">
        <f t="shared" si="63"/>
        <v>3.3204204910154558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-4.5474735088646412E-13</v>
      </c>
      <c r="BZ100" s="13">
        <f>BY100*VLOOKUP('Données projet'!$B$12,Paramètres!$A$1:$I$89,3,0)*VLOOKUP('Données projet'!$B$12,Paramètres!$A$1:$I$89,5,0)</f>
        <v>-2.7193891583010558E-13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247.30892363953825</v>
      </c>
      <c r="CE100" s="59">
        <f t="shared" si="94"/>
        <v>248.38414731596578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1.325905797650712</v>
      </c>
      <c r="CL100" s="21">
        <f>EXP(-LN(2)/25)*CL99+(1-EXP(-LN(2)/25))/(LN(2)/25)*Calculateur!CG100*Calculateur!CI100*VLOOKUP('Données projet'!$B$12,Paramètres!$A$1:$I$89,3,0)*0.475*44/12</f>
        <v>1.616627540781949</v>
      </c>
      <c r="CM100" s="21">
        <f>EXP(-LN(2)/2)*CM99+(1-EXP(-LN(2)/2))/(LN(2)/2)*CG100*CJ100*VLOOKUP('Données projet'!$B$12,Paramètres!$A$1:$I$89,3,0)*0.475*44/12</f>
        <v>1.5632064825576225E-9</v>
      </c>
      <c r="CN100" s="22">
        <f t="shared" si="66"/>
        <v>2.9425333399958675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191.77102466144095</v>
      </c>
      <c r="T101" s="59">
        <f t="shared" si="88"/>
        <v>205.57161411620217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1.6158150193718555</v>
      </c>
      <c r="AA101" s="21">
        <f>EXP(-LN(2)/25)*AA100+(1-EXP(-LN(2)/25))/(LN(2)/25)*Calculateur!V101*Calculateur!X101*VLOOKUP('Données projet'!$B$9,Paramètres!$A$1:$I$89,3,0)*0.475*44/12</f>
        <v>1.8715117688003027</v>
      </c>
      <c r="AB101" s="21">
        <f>EXP(-LN(2)/2)*AB100+(1-EXP(-LN(2)/2))/(LN(2)/2)*V101*Y101*VLOOKUP('Données projet'!$B$9,Paramètres!$A$1:$I$89,3,0)*0.475*44/12</f>
        <v>3.1698101514916465E-10</v>
      </c>
      <c r="AC101" s="22">
        <f t="shared" si="57"/>
        <v>3.4873267884891392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-4.5474735088646412E-13</v>
      </c>
      <c r="AJ101" s="13">
        <f>AI101*VLOOKUP('Données projet'!$B$10,Paramètres!$A$1:$I$89,3,0)*VLOOKUP('Données projet'!$B$10,Paramètres!$A$1:$I$89,5,0)</f>
        <v>-2.7193891583010558E-13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247.30892363953825</v>
      </c>
      <c r="AO101" s="59">
        <f t="shared" si="90"/>
        <v>248.38414731596578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1.2999055936814634</v>
      </c>
      <c r="AV101" s="21">
        <f>EXP(-LN(2)/25)*AV100+(1-EXP(-LN(2)/25))/(LN(2)/25)*Calculateur!AQ101*Calculateur!AS101*VLOOKUP('Données projet'!$B$10,Paramètres!$A$1:$I$89,3,0)*0.475*44/12</f>
        <v>1.5724207756645192</v>
      </c>
      <c r="AW101" s="21">
        <f>EXP(-LN(2)/2)*AW100+(1-EXP(-LN(2)/2))/(LN(2)/2)*AQ101*AT101*VLOOKUP('Données projet'!$B$10,Paramètres!$A$1:$I$89,3,0)*0.475*44/12</f>
        <v>1.1053539042112653E-9</v>
      </c>
      <c r="AX101" s="21">
        <f t="shared" si="60"/>
        <v>2.8723263704513364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-2.2737367544323206E-13</v>
      </c>
      <c r="BE101" s="13">
        <f>BD101*VLOOKUP('Données projet'!$B$11,Paramètres!$A$1:$I$89,3,0)*VLOOKUP('Données projet'!$B$11,Paramètres!$A$1:$I$89,5,0)</f>
        <v>-9.1631591203622526E-14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265.97106059040101</v>
      </c>
      <c r="BJ101" s="59">
        <f t="shared" si="92"/>
        <v>240.18718869578237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1.4989732618925868</v>
      </c>
      <c r="BQ101" s="21">
        <f>EXP(-LN(2)/25)*BQ100+(1-EXP(-LN(2)/25))/(LN(2)/25)*Calculateur!BL101*Calculateur!BN101*VLOOKUP('Données projet'!$B$11,Paramètres!$A$1:$I$89,3,0)*0.475*44/12</f>
        <v>1.7424776357302927</v>
      </c>
      <c r="BR101" s="21">
        <f>EXP(-LN(2)/2)*BR100+(1-EXP(-LN(2)/2))/(LN(2)/2)*BL101*BO101*VLOOKUP('Données projet'!$B$11,Paramètres!$A$1:$I$89,3,0)*0.475*44/12</f>
        <v>1.0411344086404487E-9</v>
      </c>
      <c r="BS101" s="22">
        <f t="shared" si="63"/>
        <v>3.2414508986640138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-4.5474735088646412E-13</v>
      </c>
      <c r="BZ101" s="13">
        <f>BY101*VLOOKUP('Données projet'!$B$12,Paramètres!$A$1:$I$89,3,0)*VLOOKUP('Données projet'!$B$12,Paramètres!$A$1:$I$89,5,0)</f>
        <v>-2.7193891583010558E-13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247.30892363953825</v>
      </c>
      <c r="CE101" s="59">
        <f t="shared" si="94"/>
        <v>248.38414731596578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1.2999055936814634</v>
      </c>
      <c r="CL101" s="21">
        <f>EXP(-LN(2)/25)*CL100+(1-EXP(-LN(2)/25))/(LN(2)/25)*Calculateur!CG101*Calculateur!CI101*VLOOKUP('Données projet'!$B$12,Paramètres!$A$1:$I$89,3,0)*0.475*44/12</f>
        <v>1.5724207756645192</v>
      </c>
      <c r="CM101" s="21">
        <f>EXP(-LN(2)/2)*CM100+(1-EXP(-LN(2)/2))/(LN(2)/2)*CG101*CJ101*VLOOKUP('Données projet'!$B$12,Paramètres!$A$1:$I$89,3,0)*0.475*44/12</f>
        <v>1.1053539042112653E-9</v>
      </c>
      <c r="CN101" s="22">
        <f t="shared" si="66"/>
        <v>2.8723263704513364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191.77102466144095</v>
      </c>
      <c r="T102" s="59">
        <f t="shared" si="88"/>
        <v>205.57161411620217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1.5841298723918202</v>
      </c>
      <c r="AA102" s="21">
        <f>EXP(-LN(2)/25)*AA101+(1-EXP(-LN(2)/25))/(LN(2)/25)*Calculateur!V102*Calculateur!X102*VLOOKUP('Données projet'!$B$9,Paramètres!$A$1:$I$89,3,0)*0.475*44/12</f>
        <v>1.8203351810639319</v>
      </c>
      <c r="AB102" s="21">
        <f>EXP(-LN(2)/2)*AB101+(1-EXP(-LN(2)/2))/(LN(2)/2)*V102*Y102*VLOOKUP('Données projet'!$B$9,Paramètres!$A$1:$I$89,3,0)*0.475*44/12</f>
        <v>2.2413942531937008E-10</v>
      </c>
      <c r="AC102" s="22">
        <f t="shared" si="57"/>
        <v>3.4044650536798913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-4.5474735088646412E-13</v>
      </c>
      <c r="AJ102" s="13">
        <f>AI102*VLOOKUP('Données projet'!$B$10,Paramètres!$A$1:$I$89,3,0)*VLOOKUP('Données projet'!$B$10,Paramètres!$A$1:$I$89,5,0)</f>
        <v>-2.7193891583010558E-13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247.30892363953825</v>
      </c>
      <c r="AO102" s="59">
        <f t="shared" si="90"/>
        <v>248.38414731596578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1.2744152378534932</v>
      </c>
      <c r="AV102" s="21">
        <f>EXP(-LN(2)/25)*AV101+(1-EXP(-LN(2)/25))/(LN(2)/25)*Calculateur!AQ102*Calculateur!AS102*VLOOKUP('Données projet'!$B$10,Paramètres!$A$1:$I$89,3,0)*0.475*44/12</f>
        <v>1.5294228468639581</v>
      </c>
      <c r="AW102" s="21">
        <f>EXP(-LN(2)/2)*AW101+(1-EXP(-LN(2)/2))/(LN(2)/2)*AQ102*AT102*VLOOKUP('Données projet'!$B$10,Paramètres!$A$1:$I$89,3,0)*0.475*44/12</f>
        <v>7.8160324127881123E-10</v>
      </c>
      <c r="AX102" s="21">
        <f t="shared" si="60"/>
        <v>2.8038380854990548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-2.2737367544323206E-13</v>
      </c>
      <c r="BE102" s="13">
        <f>BD102*VLOOKUP('Données projet'!$B$11,Paramètres!$A$1:$I$89,3,0)*VLOOKUP('Données projet'!$B$11,Paramètres!$A$1:$I$89,5,0)</f>
        <v>-9.1631591203622526E-14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265.97106059040101</v>
      </c>
      <c r="BJ102" s="59">
        <f t="shared" si="92"/>
        <v>240.18718869578237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1.469579310510285</v>
      </c>
      <c r="BQ102" s="21">
        <f>EXP(-LN(2)/25)*BQ101+(1-EXP(-LN(2)/25))/(LN(2)/25)*Calculateur!BL102*Calculateur!BN102*VLOOKUP('Données projet'!$B$11,Paramètres!$A$1:$I$89,3,0)*0.475*44/12</f>
        <v>1.6948294931483314</v>
      </c>
      <c r="BR102" s="21">
        <f>EXP(-LN(2)/2)*BR101+(1-EXP(-LN(2)/2))/(LN(2)/2)*BL102*BO102*VLOOKUP('Données projet'!$B$11,Paramètres!$A$1:$I$89,3,0)*0.475*44/12</f>
        <v>7.3619320047630735E-10</v>
      </c>
      <c r="BS102" s="22">
        <f t="shared" si="63"/>
        <v>3.1644088043948098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-4.5474735088646412E-13</v>
      </c>
      <c r="BZ102" s="13">
        <f>BY102*VLOOKUP('Données projet'!$B$12,Paramètres!$A$1:$I$89,3,0)*VLOOKUP('Données projet'!$B$12,Paramètres!$A$1:$I$89,5,0)</f>
        <v>-2.7193891583010558E-13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247.30892363953825</v>
      </c>
      <c r="CE102" s="59">
        <f t="shared" si="94"/>
        <v>248.38414731596578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1.2744152378534932</v>
      </c>
      <c r="CL102" s="21">
        <f>EXP(-LN(2)/25)*CL101+(1-EXP(-LN(2)/25))/(LN(2)/25)*Calculateur!CG102*Calculateur!CI102*VLOOKUP('Données projet'!$B$12,Paramètres!$A$1:$I$89,3,0)*0.475*44/12</f>
        <v>1.5294228468639581</v>
      </c>
      <c r="CM102" s="21">
        <f>EXP(-LN(2)/2)*CM101+(1-EXP(-LN(2)/2))/(LN(2)/2)*CG102*CJ102*VLOOKUP('Données projet'!$B$12,Paramètres!$A$1:$I$89,3,0)*0.475*44/12</f>
        <v>7.8160324127881123E-10</v>
      </c>
      <c r="CN102" s="22">
        <f t="shared" si="66"/>
        <v>2.8038380854990548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191.77102466144095</v>
      </c>
      <c r="T103" s="59">
        <f t="shared" si="88"/>
        <v>205.57161411620217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1.5530660518180321</v>
      </c>
      <c r="AA103" s="21">
        <f>EXP(-LN(2)/25)*AA102+(1-EXP(-LN(2)/25))/(LN(2)/25)*Calculateur!V103*Calculateur!X103*VLOOKUP('Données projet'!$B$9,Paramètres!$A$1:$I$89,3,0)*0.475*44/12</f>
        <v>1.770558019810472</v>
      </c>
      <c r="AB103" s="21">
        <f>EXP(-LN(2)/2)*AB102+(1-EXP(-LN(2)/2))/(LN(2)/2)*V103*Y103*VLOOKUP('Données projet'!$B$9,Paramètres!$A$1:$I$89,3,0)*0.475*44/12</f>
        <v>1.5849050757458233E-10</v>
      </c>
      <c r="AC103" s="22">
        <f t="shared" si="57"/>
        <v>3.3236240717869947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-4.5474735088646412E-13</v>
      </c>
      <c r="AJ103" s="13">
        <f>AI103*VLOOKUP('Données projet'!$B$10,Paramètres!$A$1:$I$89,3,0)*VLOOKUP('Données projet'!$B$10,Paramètres!$A$1:$I$89,5,0)</f>
        <v>-2.7193891583010558E-13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247.30892363953825</v>
      </c>
      <c r="AO103" s="59">
        <f t="shared" si="90"/>
        <v>248.38414731596578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1.2494247323557277</v>
      </c>
      <c r="AV103" s="21">
        <f>EXP(-LN(2)/25)*AV102+(1-EXP(-LN(2)/25))/(LN(2)/25)*Calculateur!AQ103*Calculateur!AS103*VLOOKUP('Données projet'!$B$10,Paramètres!$A$1:$I$89,3,0)*0.475*44/12</f>
        <v>1.4876006986876111</v>
      </c>
      <c r="AW103" s="21">
        <f>EXP(-LN(2)/2)*AW102+(1-EXP(-LN(2)/2))/(LN(2)/2)*AQ103*AT103*VLOOKUP('Données projet'!$B$10,Paramètres!$A$1:$I$89,3,0)*0.475*44/12</f>
        <v>5.5267695210563267E-10</v>
      </c>
      <c r="AX103" s="21">
        <f t="shared" si="60"/>
        <v>2.7370254315960159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-2.2737367544323206E-13</v>
      </c>
      <c r="BE103" s="13">
        <f>BD103*VLOOKUP('Données projet'!$B$11,Paramètres!$A$1:$I$89,3,0)*VLOOKUP('Données projet'!$B$11,Paramètres!$A$1:$I$89,5,0)</f>
        <v>-9.1631591203622526E-14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265.97106059040101</v>
      </c>
      <c r="BJ103" s="59">
        <f t="shared" si="92"/>
        <v>240.18718869578237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1.44076175658605</v>
      </c>
      <c r="BQ103" s="21">
        <f>EXP(-LN(2)/25)*BQ102+(1-EXP(-LN(2)/25))/(LN(2)/25)*Calculateur!BL103*Calculateur!BN103*VLOOKUP('Données projet'!$B$11,Paramètres!$A$1:$I$89,3,0)*0.475*44/12</f>
        <v>1.6484842915309807</v>
      </c>
      <c r="BR103" s="21">
        <f>EXP(-LN(2)/2)*BR102+(1-EXP(-LN(2)/2))/(LN(2)/2)*BL103*BO103*VLOOKUP('Données projet'!$B$11,Paramètres!$A$1:$I$89,3,0)*0.475*44/12</f>
        <v>5.2056720432022437E-10</v>
      </c>
      <c r="BS103" s="22">
        <f t="shared" si="63"/>
        <v>3.0892460486375977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-4.5474735088646412E-13</v>
      </c>
      <c r="BZ103" s="13">
        <f>BY103*VLOOKUP('Données projet'!$B$12,Paramètres!$A$1:$I$89,3,0)*VLOOKUP('Données projet'!$B$12,Paramètres!$A$1:$I$89,5,0)</f>
        <v>-2.7193891583010558E-13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247.30892363953825</v>
      </c>
      <c r="CE103" s="59">
        <f t="shared" si="94"/>
        <v>248.38414731596578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1.2494247323557277</v>
      </c>
      <c r="CL103" s="21">
        <f>EXP(-LN(2)/25)*CL102+(1-EXP(-LN(2)/25))/(LN(2)/25)*Calculateur!CG103*Calculateur!CI103*VLOOKUP('Données projet'!$B$12,Paramètres!$A$1:$I$89,3,0)*0.475*44/12</f>
        <v>1.4876006986876111</v>
      </c>
      <c r="CM103" s="21">
        <f>EXP(-LN(2)/2)*CM102+(1-EXP(-LN(2)/2))/(LN(2)/2)*CG103*CJ103*VLOOKUP('Données projet'!$B$12,Paramètres!$A$1:$I$89,3,0)*0.475*44/12</f>
        <v>5.5267695210563267E-10</v>
      </c>
      <c r="CN103" s="22">
        <f t="shared" si="66"/>
        <v>2.7370254315960159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191.77102466144095</v>
      </c>
      <c r="T104" s="59">
        <f t="shared" si="88"/>
        <v>205.57161411620217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1.5226113738186364</v>
      </c>
      <c r="AA104" s="21">
        <f>EXP(-LN(2)/25)*AA103+(1-EXP(-LN(2)/25))/(LN(2)/25)*Calculateur!V104*Calculateur!X104*VLOOKUP('Données projet'!$B$9,Paramètres!$A$1:$I$89,3,0)*0.475*44/12</f>
        <v>1.7221420176491551</v>
      </c>
      <c r="AB104" s="21">
        <f>EXP(-LN(2)/2)*AB103+(1-EXP(-LN(2)/2))/(LN(2)/2)*V104*Y104*VLOOKUP('Données projet'!$B$9,Paramètres!$A$1:$I$89,3,0)*0.475*44/12</f>
        <v>1.1206971265968504E-10</v>
      </c>
      <c r="AC104" s="22">
        <f t="shared" si="57"/>
        <v>3.2447533915798616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-4.5474735088646412E-13</v>
      </c>
      <c r="AJ104" s="13">
        <f>AI104*VLOOKUP('Données projet'!$B$10,Paramètres!$A$1:$I$89,3,0)*VLOOKUP('Données projet'!$B$10,Paramètres!$A$1:$I$89,5,0)</f>
        <v>-2.7193891583010558E-13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247.30892363953825</v>
      </c>
      <c r="AO104" s="59">
        <f t="shared" si="90"/>
        <v>248.38414731596578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1.22492427542807</v>
      </c>
      <c r="AV104" s="21">
        <f>EXP(-LN(2)/25)*AV103+(1-EXP(-LN(2)/25))/(LN(2)/25)*Calculateur!AQ104*Calculateur!AS104*VLOOKUP('Données projet'!$B$10,Paramètres!$A$1:$I$89,3,0)*0.475*44/12</f>
        <v>1.4469221793524776</v>
      </c>
      <c r="AW104" s="21">
        <f>EXP(-LN(2)/2)*AW103+(1-EXP(-LN(2)/2))/(LN(2)/2)*AQ104*AT104*VLOOKUP('Données projet'!$B$10,Paramètres!$A$1:$I$89,3,0)*0.475*44/12</f>
        <v>3.9080162063940561E-10</v>
      </c>
      <c r="AX104" s="21">
        <f t="shared" si="60"/>
        <v>2.6718464551713494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-2.2737367544323206E-13</v>
      </c>
      <c r="BE104" s="13">
        <f>BD104*VLOOKUP('Données projet'!$B$11,Paramètres!$A$1:$I$89,3,0)*VLOOKUP('Données projet'!$B$11,Paramètres!$A$1:$I$89,5,0)</f>
        <v>-9.1631591203622526E-14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265.97106059040101</v>
      </c>
      <c r="BJ104" s="59">
        <f t="shared" si="92"/>
        <v>240.18718869578237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1.412509297317297</v>
      </c>
      <c r="BQ104" s="21">
        <f>EXP(-LN(2)/25)*BQ103+(1-EXP(-LN(2)/25))/(LN(2)/25)*Calculateur!BL104*Calculateur!BN104*VLOOKUP('Données projet'!$B$11,Paramètres!$A$1:$I$89,3,0)*0.475*44/12</f>
        <v>1.6034064018890448</v>
      </c>
      <c r="BR104" s="21">
        <f>EXP(-LN(2)/2)*BR103+(1-EXP(-LN(2)/2))/(LN(2)/2)*BL104*BO104*VLOOKUP('Données projet'!$B$11,Paramètres!$A$1:$I$89,3,0)*0.475*44/12</f>
        <v>3.6809660023815368E-10</v>
      </c>
      <c r="BS104" s="22">
        <f t="shared" si="63"/>
        <v>3.0159156995744385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-4.5474735088646412E-13</v>
      </c>
      <c r="BZ104" s="13">
        <f>BY104*VLOOKUP('Données projet'!$B$12,Paramètres!$A$1:$I$89,3,0)*VLOOKUP('Données projet'!$B$12,Paramètres!$A$1:$I$89,5,0)</f>
        <v>-2.7193891583010558E-13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247.30892363953825</v>
      </c>
      <c r="CE104" s="59">
        <f t="shared" si="94"/>
        <v>248.38414731596578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1.22492427542807</v>
      </c>
      <c r="CL104" s="21">
        <f>EXP(-LN(2)/25)*CL103+(1-EXP(-LN(2)/25))/(LN(2)/25)*Calculateur!CG104*Calculateur!CI104*VLOOKUP('Données projet'!$B$12,Paramètres!$A$1:$I$89,3,0)*0.475*44/12</f>
        <v>1.4469221793524776</v>
      </c>
      <c r="CM104" s="21">
        <f>EXP(-LN(2)/2)*CM103+(1-EXP(-LN(2)/2))/(LN(2)/2)*CG104*CJ104*VLOOKUP('Données projet'!$B$12,Paramètres!$A$1:$I$89,3,0)*0.475*44/12</f>
        <v>3.9080162063940561E-10</v>
      </c>
      <c r="CN104" s="22">
        <f t="shared" si="66"/>
        <v>2.6718464551713494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191.77102466144095</v>
      </c>
      <c r="T105" s="59">
        <f t="shared" si="88"/>
        <v>205.57161411620217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1.4927538934792894</v>
      </c>
      <c r="AA105" s="21">
        <f>EXP(-LN(2)/25)*AA104+(1-EXP(-LN(2)/25))/(LN(2)/25)*Calculateur!V105*Calculateur!X105*VLOOKUP('Données projet'!$B$9,Paramètres!$A$1:$I$89,3,0)*0.475*44/12</f>
        <v>1.6750499536130263</v>
      </c>
      <c r="AB105" s="21">
        <f>EXP(-LN(2)/2)*AB104+(1-EXP(-LN(2)/2))/(LN(2)/2)*V105*Y105*VLOOKUP('Données projet'!$B$9,Paramètres!$A$1:$I$89,3,0)*0.475*44/12</f>
        <v>7.9245253787291163E-11</v>
      </c>
      <c r="AC105" s="22">
        <f t="shared" si="57"/>
        <v>3.1678038471715606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-4.5474735088646412E-13</v>
      </c>
      <c r="AJ105" s="13">
        <f>AI105*VLOOKUP('Données projet'!$B$10,Paramètres!$A$1:$I$89,3,0)*VLOOKUP('Données projet'!$B$10,Paramètres!$A$1:$I$89,5,0)</f>
        <v>-2.7193891583010558E-13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247.30892363953825</v>
      </c>
      <c r="AO105" s="59">
        <f t="shared" si="90"/>
        <v>248.38414731596578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1.2009042575169606</v>
      </c>
      <c r="AV105" s="21">
        <f>EXP(-LN(2)/25)*AV104+(1-EXP(-LN(2)/25))/(LN(2)/25)*Calculateur!AQ105*Calculateur!AS105*VLOOKUP('Données projet'!$B$10,Paramètres!$A$1:$I$89,3,0)*0.475*44/12</f>
        <v>1.4073560162677536</v>
      </c>
      <c r="AW105" s="21">
        <f>EXP(-LN(2)/2)*AW104+(1-EXP(-LN(2)/2))/(LN(2)/2)*AQ105*AT105*VLOOKUP('Données projet'!$B$10,Paramètres!$A$1:$I$89,3,0)*0.475*44/12</f>
        <v>2.7633847605281633E-10</v>
      </c>
      <c r="AX105" s="21">
        <f t="shared" si="60"/>
        <v>2.608260274061053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-2.2737367544323206E-13</v>
      </c>
      <c r="BE105" s="13">
        <f>BD105*VLOOKUP('Données projet'!$B$11,Paramètres!$A$1:$I$89,3,0)*VLOOKUP('Données projet'!$B$11,Paramètres!$A$1:$I$89,5,0)</f>
        <v>-9.1631591203622526E-14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265.97106059040101</v>
      </c>
      <c r="BJ105" s="59">
        <f t="shared" si="92"/>
        <v>240.18718869578237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1.3848108515425057</v>
      </c>
      <c r="BQ105" s="21">
        <f>EXP(-LN(2)/25)*BQ104+(1-EXP(-LN(2)/25))/(LN(2)/25)*Calculateur!BL105*Calculateur!BN105*VLOOKUP('Données projet'!$B$11,Paramètres!$A$1:$I$89,3,0)*0.475*44/12</f>
        <v>1.5595611695099107</v>
      </c>
      <c r="BR105" s="21">
        <f>EXP(-LN(2)/2)*BR104+(1-EXP(-LN(2)/2))/(LN(2)/2)*BL105*BO105*VLOOKUP('Données projet'!$B$11,Paramètres!$A$1:$I$89,3,0)*0.475*44/12</f>
        <v>2.6028360216011218E-10</v>
      </c>
      <c r="BS105" s="22">
        <f t="shared" si="63"/>
        <v>2.9443720213127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-4.5474735088646412E-13</v>
      </c>
      <c r="BZ105" s="13">
        <f>BY105*VLOOKUP('Données projet'!$B$12,Paramètres!$A$1:$I$89,3,0)*VLOOKUP('Données projet'!$B$12,Paramètres!$A$1:$I$89,5,0)</f>
        <v>-2.7193891583010558E-13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247.30892363953825</v>
      </c>
      <c r="CE105" s="59">
        <f t="shared" si="94"/>
        <v>248.38414731596578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1.2009042575169606</v>
      </c>
      <c r="CL105" s="21">
        <f>EXP(-LN(2)/25)*CL104+(1-EXP(-LN(2)/25))/(LN(2)/25)*Calculateur!CG105*Calculateur!CI105*VLOOKUP('Données projet'!$B$12,Paramètres!$A$1:$I$89,3,0)*0.475*44/12</f>
        <v>1.4073560162677536</v>
      </c>
      <c r="CM105" s="21">
        <f>EXP(-LN(2)/2)*CM104+(1-EXP(-LN(2)/2))/(LN(2)/2)*CG105*CJ105*VLOOKUP('Données projet'!$B$12,Paramètres!$A$1:$I$89,3,0)*0.475*44/12</f>
        <v>2.7633847605281633E-10</v>
      </c>
      <c r="CN105" s="22">
        <f t="shared" si="66"/>
        <v>2.608260274061053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191.77102466144095</v>
      </c>
      <c r="T106" s="59">
        <f t="shared" si="88"/>
        <v>205.57161411620217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1.4634819001181323</v>
      </c>
      <c r="AA106" s="21">
        <f>EXP(-LN(2)/25)*AA105+(1-EXP(-LN(2)/25))/(LN(2)/25)*Calculateur!V106*Calculateur!X106*VLOOKUP('Données projet'!$B$9,Paramètres!$A$1:$I$89,3,0)*0.475*44/12</f>
        <v>1.6292456245444293</v>
      </c>
      <c r="AB106" s="21">
        <f>EXP(-LN(2)/2)*AB105+(1-EXP(-LN(2)/2))/(LN(2)/2)*V106*Y106*VLOOKUP('Données projet'!$B$9,Paramètres!$A$1:$I$89,3,0)*0.475*44/12</f>
        <v>5.6034856329842519E-11</v>
      </c>
      <c r="AC106" s="22">
        <f t="shared" si="57"/>
        <v>3.0927275247185961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-4.5474735088646412E-13</v>
      </c>
      <c r="AJ106" s="13">
        <f>AI106*VLOOKUP('Données projet'!$B$10,Paramètres!$A$1:$I$89,3,0)*VLOOKUP('Données projet'!$B$10,Paramètres!$A$1:$I$89,5,0)</f>
        <v>-2.7193891583010558E-13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247.30892363953825</v>
      </c>
      <c r="AO106" s="59">
        <f t="shared" si="90"/>
        <v>248.38414731596578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1.1773552575063237</v>
      </c>
      <c r="AV106" s="21">
        <f>EXP(-LN(2)/25)*AV105+(1-EXP(-LN(2)/25))/(LN(2)/25)*Calculateur!AQ106*Calculateur!AS106*VLOOKUP('Données projet'!$B$10,Paramètres!$A$1:$I$89,3,0)*0.475*44/12</f>
        <v>1.3688717919932756</v>
      </c>
      <c r="AW106" s="21">
        <f>EXP(-LN(2)/2)*AW105+(1-EXP(-LN(2)/2))/(LN(2)/2)*AQ106*AT106*VLOOKUP('Données projet'!$B$10,Paramètres!$A$1:$I$89,3,0)*0.475*44/12</f>
        <v>1.9540081031970281E-10</v>
      </c>
      <c r="AX106" s="21">
        <f t="shared" si="60"/>
        <v>2.5462270496950001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-2.2737367544323206E-13</v>
      </c>
      <c r="BE106" s="13">
        <f>BD106*VLOOKUP('Données projet'!$B$11,Paramètres!$A$1:$I$89,3,0)*VLOOKUP('Données projet'!$B$11,Paramètres!$A$1:$I$89,5,0)</f>
        <v>-9.1631591203622526E-14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265.97106059040101</v>
      </c>
      <c r="BJ106" s="59">
        <f t="shared" si="92"/>
        <v>240.18718869578237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1.3576555553949743</v>
      </c>
      <c r="BQ106" s="21">
        <f>EXP(-LN(2)/25)*BQ105+(1-EXP(-LN(2)/25))/(LN(2)/25)*Calculateur!BL106*Calculateur!BN106*VLOOKUP('Données projet'!$B$11,Paramètres!$A$1:$I$89,3,0)*0.475*44/12</f>
        <v>1.5169148873159048</v>
      </c>
      <c r="BR106" s="21">
        <f>EXP(-LN(2)/2)*BR105+(1-EXP(-LN(2)/2))/(LN(2)/2)*BL106*BO106*VLOOKUP('Données projet'!$B$11,Paramètres!$A$1:$I$89,3,0)*0.475*44/12</f>
        <v>1.8404830011907684E-10</v>
      </c>
      <c r="BS106" s="22">
        <f t="shared" si="63"/>
        <v>2.8745704428949272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-4.5474735088646412E-13</v>
      </c>
      <c r="BZ106" s="13">
        <f>BY106*VLOOKUP('Données projet'!$B$12,Paramètres!$A$1:$I$89,3,0)*VLOOKUP('Données projet'!$B$12,Paramètres!$A$1:$I$89,5,0)</f>
        <v>-2.7193891583010558E-13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247.30892363953825</v>
      </c>
      <c r="CE106" s="59">
        <f t="shared" si="94"/>
        <v>248.38414731596578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1.1773552575063237</v>
      </c>
      <c r="CL106" s="21">
        <f>EXP(-LN(2)/25)*CL105+(1-EXP(-LN(2)/25))/(LN(2)/25)*Calculateur!CG106*Calculateur!CI106*VLOOKUP('Données projet'!$B$12,Paramètres!$A$1:$I$89,3,0)*0.475*44/12</f>
        <v>1.3688717919932756</v>
      </c>
      <c r="CM106" s="21">
        <f>EXP(-LN(2)/2)*CM105+(1-EXP(-LN(2)/2))/(LN(2)/2)*CG106*CJ106*VLOOKUP('Données projet'!$B$12,Paramètres!$A$1:$I$89,3,0)*0.475*44/12</f>
        <v>1.9540081031970281E-10</v>
      </c>
      <c r="CN106" s="22">
        <f t="shared" si="66"/>
        <v>2.5462270496950001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191.77102466144095</v>
      </c>
      <c r="T107" s="59">
        <f t="shared" si="88"/>
        <v>205.57161411620217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1.4347839126926343</v>
      </c>
      <c r="AA107" s="21">
        <f>EXP(-LN(2)/25)*AA106+(1-EXP(-LN(2)/25))/(LN(2)/25)*Calculateur!V107*Calculateur!X107*VLOOKUP('Données projet'!$B$9,Paramètres!$A$1:$I$89,3,0)*0.475*44/12</f>
        <v>1.5846938172629581</v>
      </c>
      <c r="AB107" s="21">
        <f>EXP(-LN(2)/2)*AB106+(1-EXP(-LN(2)/2))/(LN(2)/2)*V107*Y107*VLOOKUP('Données projet'!$B$9,Paramètres!$A$1:$I$89,3,0)*0.475*44/12</f>
        <v>3.9622626893645581E-11</v>
      </c>
      <c r="AC107" s="22">
        <f t="shared" si="57"/>
        <v>3.0194777299952147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-4.5474735088646412E-13</v>
      </c>
      <c r="AJ107" s="13">
        <f>AI107*VLOOKUP('Données projet'!$B$10,Paramètres!$A$1:$I$89,3,0)*VLOOKUP('Données projet'!$B$10,Paramètres!$A$1:$I$89,5,0)</f>
        <v>-2.7193891583010558E-13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247.30892363953825</v>
      </c>
      <c r="AO107" s="59">
        <f t="shared" si="90"/>
        <v>248.38414731596578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1.1542680390224238</v>
      </c>
      <c r="AV107" s="21">
        <f>EXP(-LN(2)/25)*AV106+(1-EXP(-LN(2)/25))/(LN(2)/25)*Calculateur!AQ107*Calculateur!AS107*VLOOKUP('Données projet'!$B$10,Paramètres!$A$1:$I$89,3,0)*0.475*44/12</f>
        <v>1.3314399208553804</v>
      </c>
      <c r="AW107" s="21">
        <f>EXP(-LN(2)/2)*AW106+(1-EXP(-LN(2)/2))/(LN(2)/2)*AQ107*AT107*VLOOKUP('Données projet'!$B$10,Paramètres!$A$1:$I$89,3,0)*0.475*44/12</f>
        <v>1.3816923802640817E-10</v>
      </c>
      <c r="AX107" s="21">
        <f t="shared" si="60"/>
        <v>2.4857079600159735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-2.2737367544323206E-13</v>
      </c>
      <c r="BE107" s="13">
        <f>BD107*VLOOKUP('Données projet'!$B$11,Paramètres!$A$1:$I$89,3,0)*VLOOKUP('Données projet'!$B$11,Paramètres!$A$1:$I$89,5,0)</f>
        <v>-9.1631591203622526E-14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265.97106059040101</v>
      </c>
      <c r="BJ107" s="59">
        <f t="shared" si="92"/>
        <v>240.18718869578237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1.3310327580418007</v>
      </c>
      <c r="BQ107" s="21">
        <f>EXP(-LN(2)/25)*BQ106+(1-EXP(-LN(2)/25))/(LN(2)/25)*Calculateur!BL107*Calculateur!BN107*VLOOKUP('Données projet'!$B$11,Paramètres!$A$1:$I$89,3,0)*0.475*44/12</f>
        <v>1.4754347699511645</v>
      </c>
      <c r="BR107" s="21">
        <f>EXP(-LN(2)/2)*BR106+(1-EXP(-LN(2)/2))/(LN(2)/2)*BL107*BO107*VLOOKUP('Données projet'!$B$11,Paramètres!$A$1:$I$89,3,0)*0.475*44/12</f>
        <v>1.3014180108005609E-10</v>
      </c>
      <c r="BS107" s="22">
        <f t="shared" si="63"/>
        <v>2.8064675281231071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-4.5474735088646412E-13</v>
      </c>
      <c r="BZ107" s="13">
        <f>BY107*VLOOKUP('Données projet'!$B$12,Paramètres!$A$1:$I$89,3,0)*VLOOKUP('Données projet'!$B$12,Paramètres!$A$1:$I$89,5,0)</f>
        <v>-2.7193891583010558E-13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247.30892363953825</v>
      </c>
      <c r="CE107" s="59">
        <f t="shared" si="94"/>
        <v>248.38414731596578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1.1542680390224238</v>
      </c>
      <c r="CL107" s="21">
        <f>EXP(-LN(2)/25)*CL106+(1-EXP(-LN(2)/25))/(LN(2)/25)*Calculateur!CG107*Calculateur!CI107*VLOOKUP('Données projet'!$B$12,Paramètres!$A$1:$I$89,3,0)*0.475*44/12</f>
        <v>1.3314399208553804</v>
      </c>
      <c r="CM107" s="21">
        <f>EXP(-LN(2)/2)*CM106+(1-EXP(-LN(2)/2))/(LN(2)/2)*CG107*CJ107*VLOOKUP('Données projet'!$B$12,Paramètres!$A$1:$I$89,3,0)*0.475*44/12</f>
        <v>1.3816923802640817E-10</v>
      </c>
      <c r="CN107" s="22">
        <f t="shared" si="66"/>
        <v>2.4857079600159735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191.77102466144095</v>
      </c>
      <c r="T108" s="59">
        <f t="shared" si="88"/>
        <v>205.57161411620217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1.4066486752965064</v>
      </c>
      <c r="AA108" s="21">
        <f>EXP(-LN(2)/25)*AA107+(1-EXP(-LN(2)/25))/(LN(2)/25)*Calculateur!V108*Calculateur!X108*VLOOKUP('Données projet'!$B$9,Paramètres!$A$1:$I$89,3,0)*0.475*44/12</f>
        <v>1.5413602814944765</v>
      </c>
      <c r="AB108" s="21">
        <f>EXP(-LN(2)/2)*AB107+(1-EXP(-LN(2)/2))/(LN(2)/2)*V108*Y108*VLOOKUP('Données projet'!$B$9,Paramètres!$A$1:$I$89,3,0)*0.475*44/12</f>
        <v>2.801742816492126E-11</v>
      </c>
      <c r="AC108" s="22">
        <f t="shared" si="57"/>
        <v>2.9480089568190007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-4.5474735088646412E-13</v>
      </c>
      <c r="AJ108" s="13">
        <f>AI108*VLOOKUP('Données projet'!$B$10,Paramètres!$A$1:$I$89,3,0)*VLOOKUP('Données projet'!$B$10,Paramètres!$A$1:$I$89,5,0)</f>
        <v>-2.7193891583010558E-13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247.30892363953825</v>
      </c>
      <c r="AO108" s="59">
        <f t="shared" si="90"/>
        <v>248.38414731596578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1.1316335468111802</v>
      </c>
      <c r="AV108" s="21">
        <f>EXP(-LN(2)/25)*AV107+(1-EXP(-LN(2)/25))/(LN(2)/25)*Calculateur!AQ108*Calculateur!AS108*VLOOKUP('Données projet'!$B$10,Paramètres!$A$1:$I$89,3,0)*0.475*44/12</f>
        <v>1.2950316262022077</v>
      </c>
      <c r="AW108" s="21">
        <f>EXP(-LN(2)/2)*AW107+(1-EXP(-LN(2)/2))/(LN(2)/2)*AQ108*AT108*VLOOKUP('Données projet'!$B$10,Paramètres!$A$1:$I$89,3,0)*0.475*44/12</f>
        <v>9.7700405159851403E-11</v>
      </c>
      <c r="AX108" s="21">
        <f t="shared" si="60"/>
        <v>2.4266651731110884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-2.2737367544323206E-13</v>
      </c>
      <c r="BE108" s="13">
        <f>BD108*VLOOKUP('Données projet'!$B$11,Paramètres!$A$1:$I$89,3,0)*VLOOKUP('Données projet'!$B$11,Paramètres!$A$1:$I$89,5,0)</f>
        <v>-9.1631591203622526E-14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265.97106059040101</v>
      </c>
      <c r="BJ108" s="59">
        <f t="shared" si="92"/>
        <v>240.18718869578237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1.3049320175064199</v>
      </c>
      <c r="BQ108" s="21">
        <f>EXP(-LN(2)/25)*BQ107+(1-EXP(-LN(2)/25))/(LN(2)/25)*Calculateur!BL108*Calculateur!BN108*VLOOKUP('Données projet'!$B$11,Paramètres!$A$1:$I$89,3,0)*0.475*44/12</f>
        <v>1.4350889285771076</v>
      </c>
      <c r="BR108" s="21">
        <f>EXP(-LN(2)/2)*BR107+(1-EXP(-LN(2)/2))/(LN(2)/2)*BL108*BO108*VLOOKUP('Données projet'!$B$11,Paramètres!$A$1:$I$89,3,0)*0.475*44/12</f>
        <v>9.2024150059538419E-11</v>
      </c>
      <c r="BS108" s="22">
        <f t="shared" si="63"/>
        <v>2.7400209461755516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-4.5474735088646412E-13</v>
      </c>
      <c r="BZ108" s="13">
        <f>BY108*VLOOKUP('Données projet'!$B$12,Paramètres!$A$1:$I$89,3,0)*VLOOKUP('Données projet'!$B$12,Paramètres!$A$1:$I$89,5,0)</f>
        <v>-2.7193891583010558E-13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247.30892363953825</v>
      </c>
      <c r="CE108" s="59">
        <f t="shared" si="94"/>
        <v>248.38414731596578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1.1316335468111802</v>
      </c>
      <c r="CL108" s="21">
        <f>EXP(-LN(2)/25)*CL107+(1-EXP(-LN(2)/25))/(LN(2)/25)*Calculateur!CG108*Calculateur!CI108*VLOOKUP('Données projet'!$B$12,Paramètres!$A$1:$I$89,3,0)*0.475*44/12</f>
        <v>1.2950316262022077</v>
      </c>
      <c r="CM108" s="21">
        <f>EXP(-LN(2)/2)*CM107+(1-EXP(-LN(2)/2))/(LN(2)/2)*CG108*CJ108*VLOOKUP('Données projet'!$B$12,Paramètres!$A$1:$I$89,3,0)*0.475*44/12</f>
        <v>9.7700405159851403E-11</v>
      </c>
      <c r="CN108" s="22">
        <f t="shared" si="66"/>
        <v>2.4266651731110884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191.77102466144095</v>
      </c>
      <c r="T109" s="59">
        <f t="shared" si="88"/>
        <v>205.57161411620217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1.3790651527449163</v>
      </c>
      <c r="AA109" s="21">
        <f>EXP(-LN(2)/25)*AA108+(1-EXP(-LN(2)/25))/(LN(2)/25)*Calculateur!V109*Calculateur!X109*VLOOKUP('Données projet'!$B$9,Paramètres!$A$1:$I$89,3,0)*0.475*44/12</f>
        <v>1.4992117035403956</v>
      </c>
      <c r="AB109" s="21">
        <f>EXP(-LN(2)/2)*AB108+(1-EXP(-LN(2)/2))/(LN(2)/2)*V109*Y109*VLOOKUP('Données projet'!$B$9,Paramètres!$A$1:$I$89,3,0)*0.475*44/12</f>
        <v>1.9811313446822791E-11</v>
      </c>
      <c r="AC109" s="22">
        <f t="shared" si="57"/>
        <v>2.8782768563051229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-4.5474735088646412E-13</v>
      </c>
      <c r="AJ109" s="13">
        <f>AI109*VLOOKUP('Données projet'!$B$10,Paramètres!$A$1:$I$89,3,0)*VLOOKUP('Données projet'!$B$10,Paramètres!$A$1:$I$89,5,0)</f>
        <v>-2.7193891583010558E-13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247.30892363953825</v>
      </c>
      <c r="AO109" s="59">
        <f t="shared" si="90"/>
        <v>248.38414731596578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1.1094429031865221</v>
      </c>
      <c r="AV109" s="21">
        <f>EXP(-LN(2)/25)*AV108+(1-EXP(-LN(2)/25))/(LN(2)/25)*Calculateur!AQ109*Calculateur!AS109*VLOOKUP('Données projet'!$B$10,Paramètres!$A$1:$I$89,3,0)*0.475*44/12</f>
        <v>1.259618918280955</v>
      </c>
      <c r="AW109" s="21">
        <f>EXP(-LN(2)/2)*AW108+(1-EXP(-LN(2)/2))/(LN(2)/2)*AQ109*AT109*VLOOKUP('Données projet'!$B$10,Paramètres!$A$1:$I$89,3,0)*0.475*44/12</f>
        <v>6.9084619013204083E-11</v>
      </c>
      <c r="AX109" s="21">
        <f t="shared" si="60"/>
        <v>2.3690618215365618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-2.2737367544323206E-13</v>
      </c>
      <c r="BE109" s="13">
        <f>BD109*VLOOKUP('Données projet'!$B$11,Paramètres!$A$1:$I$89,3,0)*VLOOKUP('Données projet'!$B$11,Paramètres!$A$1:$I$89,5,0)</f>
        <v>-9.1631591203622526E-14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265.97106059040101</v>
      </c>
      <c r="BJ109" s="59">
        <f t="shared" si="92"/>
        <v>240.18718869578237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1.2793430965730581</v>
      </c>
      <c r="BQ109" s="21">
        <f>EXP(-LN(2)/25)*BQ108+(1-EXP(-LN(2)/25))/(LN(2)/25)*Calculateur!BL109*Calculateur!BN109*VLOOKUP('Données projet'!$B$11,Paramètres!$A$1:$I$89,3,0)*0.475*44/12</f>
        <v>1.3958463463571198</v>
      </c>
      <c r="BR109" s="21">
        <f>EXP(-LN(2)/2)*BR108+(1-EXP(-LN(2)/2))/(LN(2)/2)*BL109*BO109*VLOOKUP('Données projet'!$B$11,Paramètres!$A$1:$I$89,3,0)*0.475*44/12</f>
        <v>6.5070900540028046E-11</v>
      </c>
      <c r="BS109" s="22">
        <f t="shared" si="63"/>
        <v>2.675189442995249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-4.5474735088646412E-13</v>
      </c>
      <c r="BZ109" s="13">
        <f>BY109*VLOOKUP('Données projet'!$B$12,Paramètres!$A$1:$I$89,3,0)*VLOOKUP('Données projet'!$B$12,Paramètres!$A$1:$I$89,5,0)</f>
        <v>-2.7193891583010558E-13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247.30892363953825</v>
      </c>
      <c r="CE109" s="59">
        <f t="shared" si="94"/>
        <v>248.38414731596578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1.1094429031865221</v>
      </c>
      <c r="CL109" s="21">
        <f>EXP(-LN(2)/25)*CL108+(1-EXP(-LN(2)/25))/(LN(2)/25)*Calculateur!CG109*Calculateur!CI109*VLOOKUP('Données projet'!$B$12,Paramètres!$A$1:$I$89,3,0)*0.475*44/12</f>
        <v>1.259618918280955</v>
      </c>
      <c r="CM109" s="21">
        <f>EXP(-LN(2)/2)*CM108+(1-EXP(-LN(2)/2))/(LN(2)/2)*CG109*CJ109*VLOOKUP('Données projet'!$B$12,Paramètres!$A$1:$I$89,3,0)*0.475*44/12</f>
        <v>6.9084619013204083E-11</v>
      </c>
      <c r="CN109" s="22">
        <f t="shared" si="66"/>
        <v>2.3690618215365618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191.77102466144095</v>
      </c>
      <c r="T110" s="59">
        <f t="shared" si="88"/>
        <v>205.57161411620217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1.3520225262462753</v>
      </c>
      <c r="AA110" s="21">
        <f>EXP(-LN(2)/25)*AA109+(1-EXP(-LN(2)/25))/(LN(2)/25)*Calculateur!V110*Calculateur!X110*VLOOKUP('Données projet'!$B$9,Paramètres!$A$1:$I$89,3,0)*0.475*44/12</f>
        <v>1.4582156806669664</v>
      </c>
      <c r="AB110" s="21">
        <f>EXP(-LN(2)/2)*AB109+(1-EXP(-LN(2)/2))/(LN(2)/2)*V110*Y110*VLOOKUP('Données projet'!$B$9,Paramètres!$A$1:$I$89,3,0)*0.475*44/12</f>
        <v>1.400871408246063E-11</v>
      </c>
      <c r="AC110" s="22">
        <f t="shared" si="57"/>
        <v>2.8102382069272505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-4.5474735088646412E-13</v>
      </c>
      <c r="AJ110" s="13">
        <f>AI110*VLOOKUP('Données projet'!$B$10,Paramètres!$A$1:$I$89,3,0)*VLOOKUP('Données projet'!$B$10,Paramètres!$A$1:$I$89,5,0)</f>
        <v>-2.7193891583010558E-13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247.30892363953825</v>
      </c>
      <c r="AO110" s="59">
        <f t="shared" si="90"/>
        <v>248.38414731596578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1.0876874045483873</v>
      </c>
      <c r="AV110" s="21">
        <f>EXP(-LN(2)/25)*AV109+(1-EXP(-LN(2)/25))/(LN(2)/25)*Calculateur!AQ110*Calculateur!AS110*VLOOKUP('Données projet'!$B$10,Paramètres!$A$1:$I$89,3,0)*0.475*44/12</f>
        <v>1.2251745727200822</v>
      </c>
      <c r="AW110" s="21">
        <f>EXP(-LN(2)/2)*AW109+(1-EXP(-LN(2)/2))/(LN(2)/2)*AQ110*AT110*VLOOKUP('Données projet'!$B$10,Paramètres!$A$1:$I$89,3,0)*0.475*44/12</f>
        <v>4.8850202579925702E-11</v>
      </c>
      <c r="AX110" s="21">
        <f t="shared" si="60"/>
        <v>2.3128619773173198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-2.2737367544323206E-13</v>
      </c>
      <c r="BE110" s="13">
        <f>BD110*VLOOKUP('Données projet'!$B$11,Paramètres!$A$1:$I$89,3,0)*VLOOKUP('Données projet'!$B$11,Paramètres!$A$1:$I$89,5,0)</f>
        <v>-9.1631591203622526E-14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265.97106059040101</v>
      </c>
      <c r="BJ110" s="59">
        <f t="shared" si="92"/>
        <v>240.18718869578237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1.254255958771499</v>
      </c>
      <c r="BQ110" s="21">
        <f>EXP(-LN(2)/25)*BQ109+(1-EXP(-LN(2)/25))/(LN(2)/25)*Calculateur!BL110*Calculateur!BN110*VLOOKUP('Données projet'!$B$11,Paramètres!$A$1:$I$89,3,0)*0.475*44/12</f>
        <v>1.3576768546116154</v>
      </c>
      <c r="BR110" s="21">
        <f>EXP(-LN(2)/2)*BR109+(1-EXP(-LN(2)/2))/(LN(2)/2)*BL110*BO110*VLOOKUP('Données projet'!$B$11,Paramètres!$A$1:$I$89,3,0)*0.475*44/12</f>
        <v>4.601207502976921E-11</v>
      </c>
      <c r="BS110" s="22">
        <f t="shared" si="63"/>
        <v>2.6119328134291262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-4.5474735088646412E-13</v>
      </c>
      <c r="BZ110" s="13">
        <f>BY110*VLOOKUP('Données projet'!$B$12,Paramètres!$A$1:$I$89,3,0)*VLOOKUP('Données projet'!$B$12,Paramètres!$A$1:$I$89,5,0)</f>
        <v>-2.7193891583010558E-13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247.30892363953825</v>
      </c>
      <c r="CE110" s="59">
        <f t="shared" si="94"/>
        <v>248.38414731596578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1.0876874045483873</v>
      </c>
      <c r="CL110" s="21">
        <f>EXP(-LN(2)/25)*CL109+(1-EXP(-LN(2)/25))/(LN(2)/25)*Calculateur!CG110*Calculateur!CI110*VLOOKUP('Données projet'!$B$12,Paramètres!$A$1:$I$89,3,0)*0.475*44/12</f>
        <v>1.2251745727200822</v>
      </c>
      <c r="CM110" s="21">
        <f>EXP(-LN(2)/2)*CM109+(1-EXP(-LN(2)/2))/(LN(2)/2)*CG110*CJ110*VLOOKUP('Données projet'!$B$12,Paramètres!$A$1:$I$89,3,0)*0.475*44/12</f>
        <v>4.8850202579925702E-11</v>
      </c>
      <c r="CN110" s="22">
        <f t="shared" si="66"/>
        <v>2.3128619773173198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191.77102466144095</v>
      </c>
      <c r="T111" s="59">
        <f t="shared" si="88"/>
        <v>205.57161411620217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1.3255101891588992</v>
      </c>
      <c r="AA111" s="21">
        <f>EXP(-LN(2)/25)*AA110+(1-EXP(-LN(2)/25))/(LN(2)/25)*Calculateur!V111*Calculateur!X111*VLOOKUP('Données projet'!$B$9,Paramètres!$A$1:$I$89,3,0)*0.475*44/12</f>
        <v>1.4183406961948983</v>
      </c>
      <c r="AB111" s="21">
        <f>EXP(-LN(2)/2)*AB110+(1-EXP(-LN(2)/2))/(LN(2)/2)*V111*Y111*VLOOKUP('Données projet'!$B$9,Paramètres!$A$1:$I$89,3,0)*0.475*44/12</f>
        <v>9.9056567234113953E-12</v>
      </c>
      <c r="AC111" s="22">
        <f t="shared" si="57"/>
        <v>2.7438508853637034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-4.5474735088646412E-13</v>
      </c>
      <c r="AJ111" s="13">
        <f>AI111*VLOOKUP('Données projet'!$B$10,Paramètres!$A$1:$I$89,3,0)*VLOOKUP('Données projet'!$B$10,Paramètres!$A$1:$I$89,5,0)</f>
        <v>-2.7193891583010558E-13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247.30892363953825</v>
      </c>
      <c r="AO111" s="59">
        <f t="shared" si="90"/>
        <v>248.38414731596578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1.0663585179690025</v>
      </c>
      <c r="AV111" s="21">
        <f>EXP(-LN(2)/25)*AV110+(1-EXP(-LN(2)/25))/(LN(2)/25)*Calculateur!AQ111*Calculateur!AS111*VLOOKUP('Données projet'!$B$10,Paramètres!$A$1:$I$89,3,0)*0.475*44/12</f>
        <v>1.191672109599921</v>
      </c>
      <c r="AW111" s="21">
        <f>EXP(-LN(2)/2)*AW110+(1-EXP(-LN(2)/2))/(LN(2)/2)*AQ111*AT111*VLOOKUP('Données projet'!$B$10,Paramètres!$A$1:$I$89,3,0)*0.475*44/12</f>
        <v>3.4542309506602042E-11</v>
      </c>
      <c r="AX111" s="21">
        <f t="shared" si="60"/>
        <v>2.2580306276034658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-2.2737367544323206E-13</v>
      </c>
      <c r="BE111" s="13">
        <f>BD111*VLOOKUP('Données projet'!$B$11,Paramètres!$A$1:$I$89,3,0)*VLOOKUP('Données projet'!$B$11,Paramètres!$A$1:$I$89,5,0)</f>
        <v>-9.1631591203622526E-14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265.97106059040101</v>
      </c>
      <c r="BJ111" s="59">
        <f t="shared" si="92"/>
        <v>240.18718869578237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1.2296607644405853</v>
      </c>
      <c r="BQ111" s="21">
        <f>EXP(-LN(2)/25)*BQ110+(1-EXP(-LN(2)/25))/(LN(2)/25)*Calculateur!BL111*Calculateur!BN111*VLOOKUP('Données projet'!$B$11,Paramètres!$A$1:$I$89,3,0)*0.475*44/12</f>
        <v>1.3205511096251379</v>
      </c>
      <c r="BR111" s="21">
        <f>EXP(-LN(2)/2)*BR110+(1-EXP(-LN(2)/2))/(LN(2)/2)*BL111*BO111*VLOOKUP('Données projet'!$B$11,Paramètres!$A$1:$I$89,3,0)*0.475*44/12</f>
        <v>3.2535450270014023E-11</v>
      </c>
      <c r="BS111" s="22">
        <f t="shared" si="63"/>
        <v>2.5502118740982582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-4.5474735088646412E-13</v>
      </c>
      <c r="BZ111" s="13">
        <f>BY111*VLOOKUP('Données projet'!$B$12,Paramètres!$A$1:$I$89,3,0)*VLOOKUP('Données projet'!$B$12,Paramètres!$A$1:$I$89,5,0)</f>
        <v>-2.7193891583010558E-13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247.30892363953825</v>
      </c>
      <c r="CE111" s="59">
        <f t="shared" si="94"/>
        <v>248.38414731596578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1.0663585179690025</v>
      </c>
      <c r="CL111" s="21">
        <f>EXP(-LN(2)/25)*CL110+(1-EXP(-LN(2)/25))/(LN(2)/25)*Calculateur!CG111*Calculateur!CI111*VLOOKUP('Données projet'!$B$12,Paramètres!$A$1:$I$89,3,0)*0.475*44/12</f>
        <v>1.191672109599921</v>
      </c>
      <c r="CM111" s="21">
        <f>EXP(-LN(2)/2)*CM110+(1-EXP(-LN(2)/2))/(LN(2)/2)*CG111*CJ111*VLOOKUP('Données projet'!$B$12,Paramètres!$A$1:$I$89,3,0)*0.475*44/12</f>
        <v>3.4542309506602042E-11</v>
      </c>
      <c r="CN111" s="22">
        <f t="shared" si="66"/>
        <v>2.2580306276034658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191.77102466144095</v>
      </c>
      <c r="T112" s="59">
        <f t="shared" si="88"/>
        <v>205.57161411620217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1.2995177428308777</v>
      </c>
      <c r="AA112" s="21">
        <f>EXP(-LN(2)/25)*AA111+(1-EXP(-LN(2)/25))/(LN(2)/25)*Calculateur!V112*Calculateur!X112*VLOOKUP('Données projet'!$B$9,Paramètres!$A$1:$I$89,3,0)*0.475*44/12</f>
        <v>1.3795560952701533</v>
      </c>
      <c r="AB112" s="21">
        <f>EXP(-LN(2)/2)*AB111+(1-EXP(-LN(2)/2))/(LN(2)/2)*V112*Y112*VLOOKUP('Données projet'!$B$9,Paramètres!$A$1:$I$89,3,0)*0.475*44/12</f>
        <v>7.0043570412303149E-12</v>
      </c>
      <c r="AC112" s="22">
        <f t="shared" si="57"/>
        <v>2.6790738381080352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-4.5474735088646412E-13</v>
      </c>
      <c r="AJ112" s="13">
        <f>AI112*VLOOKUP('Données projet'!$B$10,Paramètres!$A$1:$I$89,3,0)*VLOOKUP('Données projet'!$B$10,Paramètres!$A$1:$I$89,5,0)</f>
        <v>-2.7193891583010558E-13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247.30892363953825</v>
      </c>
      <c r="AO112" s="59">
        <f t="shared" si="90"/>
        <v>248.38414731596578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1.0454478778461032</v>
      </c>
      <c r="AV112" s="21">
        <f>EXP(-LN(2)/25)*AV111+(1-EXP(-LN(2)/25))/(LN(2)/25)*Calculateur!AQ112*Calculateur!AS112*VLOOKUP('Données projet'!$B$10,Paramètres!$A$1:$I$89,3,0)*0.475*44/12</f>
        <v>1.1590857730955986</v>
      </c>
      <c r="AW112" s="21">
        <f>EXP(-LN(2)/2)*AW111+(1-EXP(-LN(2)/2))/(LN(2)/2)*AQ112*AT112*VLOOKUP('Données projet'!$B$10,Paramètres!$A$1:$I$89,3,0)*0.475*44/12</f>
        <v>2.4425101289962851E-11</v>
      </c>
      <c r="AX112" s="21">
        <f t="shared" si="60"/>
        <v>2.2045336509661269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-2.2737367544323206E-13</v>
      </c>
      <c r="BE112" s="13">
        <f>BD112*VLOOKUP('Données projet'!$B$11,Paramètres!$A$1:$I$89,3,0)*VLOOKUP('Données projet'!$B$11,Paramètres!$A$1:$I$89,5,0)</f>
        <v>-9.1631591203622526E-14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265.97106059040101</v>
      </c>
      <c r="BJ112" s="59">
        <f t="shared" si="92"/>
        <v>240.18718869578237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1.2055478668689135</v>
      </c>
      <c r="BQ112" s="21">
        <f>EXP(-LN(2)/25)*BQ111+(1-EXP(-LN(2)/25))/(LN(2)/25)*Calculateur!BL112*Calculateur!BN112*VLOOKUP('Données projet'!$B$11,Paramètres!$A$1:$I$89,3,0)*0.475*44/12</f>
        <v>1.2844405700876738</v>
      </c>
      <c r="BR112" s="21">
        <f>EXP(-LN(2)/2)*BR111+(1-EXP(-LN(2)/2))/(LN(2)/2)*BL112*BO112*VLOOKUP('Données projet'!$B$11,Paramètres!$A$1:$I$89,3,0)*0.475*44/12</f>
        <v>2.3006037514884605E-11</v>
      </c>
      <c r="BS112" s="22">
        <f t="shared" si="63"/>
        <v>2.4899884369795933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-4.5474735088646412E-13</v>
      </c>
      <c r="BZ112" s="13">
        <f>BY112*VLOOKUP('Données projet'!$B$12,Paramètres!$A$1:$I$89,3,0)*VLOOKUP('Données projet'!$B$12,Paramètres!$A$1:$I$89,5,0)</f>
        <v>-2.7193891583010558E-13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247.30892363953825</v>
      </c>
      <c r="CE112" s="59">
        <f t="shared" si="94"/>
        <v>248.38414731596578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1.0454478778461032</v>
      </c>
      <c r="CL112" s="21">
        <f>EXP(-LN(2)/25)*CL111+(1-EXP(-LN(2)/25))/(LN(2)/25)*Calculateur!CG112*Calculateur!CI112*VLOOKUP('Données projet'!$B$12,Paramètres!$A$1:$I$89,3,0)*0.475*44/12</f>
        <v>1.1590857730955986</v>
      </c>
      <c r="CM112" s="21">
        <f>EXP(-LN(2)/2)*CM111+(1-EXP(-LN(2)/2))/(LN(2)/2)*CG112*CJ112*VLOOKUP('Données projet'!$B$12,Paramètres!$A$1:$I$89,3,0)*0.475*44/12</f>
        <v>2.4425101289962851E-11</v>
      </c>
      <c r="CN112" s="22">
        <f t="shared" si="66"/>
        <v>2.2045336509661269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191.77102466144095</v>
      </c>
      <c r="T113" s="59">
        <f t="shared" si="88"/>
        <v>205.57161411620217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1.274034992521522</v>
      </c>
      <c r="AA113" s="21">
        <f>EXP(-LN(2)/25)*AA112+(1-EXP(-LN(2)/25))/(LN(2)/25)*Calculateur!V113*Calculateur!X113*VLOOKUP('Données projet'!$B$9,Paramètres!$A$1:$I$89,3,0)*0.475*44/12</f>
        <v>1.3418320612972889</v>
      </c>
      <c r="AB113" s="21">
        <f>EXP(-LN(2)/2)*AB112+(1-EXP(-LN(2)/2))/(LN(2)/2)*V113*Y113*VLOOKUP('Données projet'!$B$9,Paramètres!$A$1:$I$89,3,0)*0.475*44/12</f>
        <v>4.9528283617056977E-12</v>
      </c>
      <c r="AC113" s="22">
        <f t="shared" si="57"/>
        <v>2.6158670538237638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-4.5474735088646412E-13</v>
      </c>
      <c r="AJ113" s="13">
        <f>AI113*VLOOKUP('Données projet'!$B$10,Paramètres!$A$1:$I$89,3,0)*VLOOKUP('Données projet'!$B$10,Paramètres!$A$1:$I$89,5,0)</f>
        <v>-2.7193891583010558E-13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247.30892363953825</v>
      </c>
      <c r="AO113" s="59">
        <f t="shared" si="90"/>
        <v>248.38414731596578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1.0249472826217829</v>
      </c>
      <c r="AV113" s="21">
        <f>EXP(-LN(2)/25)*AV112+(1-EXP(-LN(2)/25))/(LN(2)/25)*Calculateur!AQ113*Calculateur!AS113*VLOOKUP('Données projet'!$B$10,Paramètres!$A$1:$I$89,3,0)*0.475*44/12</f>
        <v>1.1273905116766278</v>
      </c>
      <c r="AW113" s="21">
        <f>EXP(-LN(2)/2)*AW112+(1-EXP(-LN(2)/2))/(LN(2)/2)*AQ113*AT113*VLOOKUP('Données projet'!$B$10,Paramètres!$A$1:$I$89,3,0)*0.475*44/12</f>
        <v>1.7271154753301021E-11</v>
      </c>
      <c r="AX113" s="21">
        <f t="shared" si="60"/>
        <v>2.1523377943156818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-2.2737367544323206E-13</v>
      </c>
      <c r="BE113" s="13">
        <f>BD113*VLOOKUP('Données projet'!$B$11,Paramètres!$A$1:$I$89,3,0)*VLOOKUP('Données projet'!$B$11,Paramètres!$A$1:$I$89,5,0)</f>
        <v>-9.1631591203622526E-14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265.97106059040101</v>
      </c>
      <c r="BJ113" s="59">
        <f t="shared" si="92"/>
        <v>240.18718869578237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1.1819078085112069</v>
      </c>
      <c r="BQ113" s="21">
        <f>EXP(-LN(2)/25)*BQ112+(1-EXP(-LN(2)/25))/(LN(2)/25)*Calculateur!BL113*Calculateur!BN113*VLOOKUP('Données projet'!$B$11,Paramètres!$A$1:$I$89,3,0)*0.475*44/12</f>
        <v>1.2493174751528324</v>
      </c>
      <c r="BR113" s="21">
        <f>EXP(-LN(2)/2)*BR112+(1-EXP(-LN(2)/2))/(LN(2)/2)*BL113*BO113*VLOOKUP('Données projet'!$B$11,Paramètres!$A$1:$I$89,3,0)*0.475*44/12</f>
        <v>1.6267725135007012E-11</v>
      </c>
      <c r="BS113" s="22">
        <f t="shared" si="63"/>
        <v>2.4312252836803072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-4.5474735088646412E-13</v>
      </c>
      <c r="BZ113" s="13">
        <f>BY113*VLOOKUP('Données projet'!$B$12,Paramètres!$A$1:$I$89,3,0)*VLOOKUP('Données projet'!$B$12,Paramètres!$A$1:$I$89,5,0)</f>
        <v>-2.7193891583010558E-13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247.30892363953825</v>
      </c>
      <c r="CE113" s="59">
        <f t="shared" si="94"/>
        <v>248.38414731596578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1.0249472826217829</v>
      </c>
      <c r="CL113" s="21">
        <f>EXP(-LN(2)/25)*CL112+(1-EXP(-LN(2)/25))/(LN(2)/25)*Calculateur!CG113*Calculateur!CI113*VLOOKUP('Données projet'!$B$12,Paramètres!$A$1:$I$89,3,0)*0.475*44/12</f>
        <v>1.1273905116766278</v>
      </c>
      <c r="CM113" s="21">
        <f>EXP(-LN(2)/2)*CM112+(1-EXP(-LN(2)/2))/(LN(2)/2)*CG113*CJ113*VLOOKUP('Données projet'!$B$12,Paramètres!$A$1:$I$89,3,0)*0.475*44/12</f>
        <v>1.7271154753301021E-11</v>
      </c>
      <c r="CN113" s="22">
        <f t="shared" si="66"/>
        <v>2.1523377943156818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191.77102466144095</v>
      </c>
      <c r="T114" s="59">
        <f t="shared" si="88"/>
        <v>205.57161411620217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1.2490519434027896</v>
      </c>
      <c r="AA114" s="21">
        <f>EXP(-LN(2)/25)*AA113+(1-EXP(-LN(2)/25))/(LN(2)/25)*Calculateur!V114*Calculateur!X114*VLOOKUP('Données projet'!$B$9,Paramètres!$A$1:$I$89,3,0)*0.475*44/12</f>
        <v>1.3051395930172334</v>
      </c>
      <c r="AB114" s="21">
        <f>EXP(-LN(2)/2)*AB113+(1-EXP(-LN(2)/2))/(LN(2)/2)*V114*Y114*VLOOKUP('Données projet'!$B$9,Paramètres!$A$1:$I$89,3,0)*0.475*44/12</f>
        <v>3.5021785206151575E-12</v>
      </c>
      <c r="AC114" s="22">
        <f t="shared" si="57"/>
        <v>2.554191536423525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-4.5474735088646412E-13</v>
      </c>
      <c r="AJ114" s="13">
        <f>AI114*VLOOKUP('Données projet'!$B$10,Paramètres!$A$1:$I$89,3,0)*VLOOKUP('Données projet'!$B$10,Paramètres!$A$1:$I$89,5,0)</f>
        <v>-2.7193891583010558E-13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247.30892363953825</v>
      </c>
      <c r="AO114" s="59">
        <f t="shared" si="90"/>
        <v>248.38414731596578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1.0048486915656831</v>
      </c>
      <c r="AV114" s="21">
        <f>EXP(-LN(2)/25)*AV113+(1-EXP(-LN(2)/25))/(LN(2)/25)*Calculateur!AQ114*Calculateur!AS114*VLOOKUP('Données projet'!$B$10,Paramètres!$A$1:$I$89,3,0)*0.475*44/12</f>
        <v>1.0965619588479401</v>
      </c>
      <c r="AW114" s="21">
        <f>EXP(-LN(2)/2)*AW113+(1-EXP(-LN(2)/2))/(LN(2)/2)*AQ114*AT114*VLOOKUP('Données projet'!$B$10,Paramètres!$A$1:$I$89,3,0)*0.475*44/12</f>
        <v>1.2212550644981425E-11</v>
      </c>
      <c r="AX114" s="21">
        <f t="shared" si="60"/>
        <v>2.1014106504258354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-2.2737367544323206E-13</v>
      </c>
      <c r="BE114" s="13">
        <f>BD114*VLOOKUP('Données projet'!$B$11,Paramètres!$A$1:$I$89,3,0)*VLOOKUP('Données projet'!$B$11,Paramètres!$A$1:$I$89,5,0)</f>
        <v>-9.1631591203622526E-14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265.97106059040101</v>
      </c>
      <c r="BJ114" s="59">
        <f t="shared" si="92"/>
        <v>240.18718869578237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1.1587313172788831</v>
      </c>
      <c r="BQ114" s="21">
        <f>EXP(-LN(2)/25)*BQ113+(1-EXP(-LN(2)/25))/(LN(2)/25)*Calculateur!BL114*Calculateur!BN114*VLOOKUP('Données projet'!$B$11,Paramètres!$A$1:$I$89,3,0)*0.475*44/12</f>
        <v>1.2151548230960276</v>
      </c>
      <c r="BR114" s="21">
        <f>EXP(-LN(2)/2)*BR113+(1-EXP(-LN(2)/2))/(LN(2)/2)*BL114*BO114*VLOOKUP('Données projet'!$B$11,Paramètres!$A$1:$I$89,3,0)*0.475*44/12</f>
        <v>1.1503018757442302E-11</v>
      </c>
      <c r="BS114" s="22">
        <f t="shared" si="63"/>
        <v>2.3738861403864133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-4.5474735088646412E-13</v>
      </c>
      <c r="BZ114" s="13">
        <f>BY114*VLOOKUP('Données projet'!$B$12,Paramètres!$A$1:$I$89,3,0)*VLOOKUP('Données projet'!$B$12,Paramètres!$A$1:$I$89,5,0)</f>
        <v>-2.7193891583010558E-13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247.30892363953825</v>
      </c>
      <c r="CE114" s="59">
        <f t="shared" si="94"/>
        <v>248.38414731596578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1.0048486915656831</v>
      </c>
      <c r="CL114" s="21">
        <f>EXP(-LN(2)/25)*CL113+(1-EXP(-LN(2)/25))/(LN(2)/25)*Calculateur!CG114*Calculateur!CI114*VLOOKUP('Données projet'!$B$12,Paramètres!$A$1:$I$89,3,0)*0.475*44/12</f>
        <v>1.0965619588479401</v>
      </c>
      <c r="CM114" s="21">
        <f>EXP(-LN(2)/2)*CM113+(1-EXP(-LN(2)/2))/(LN(2)/2)*CG114*CJ114*VLOOKUP('Données projet'!$B$12,Paramètres!$A$1:$I$89,3,0)*0.475*44/12</f>
        <v>1.2212550644981425E-11</v>
      </c>
      <c r="CN114" s="22">
        <f t="shared" si="66"/>
        <v>2.1014106504258354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191.77102466144095</v>
      </c>
      <c r="T115" s="59">
        <f t="shared" si="88"/>
        <v>205.57161411620217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1.2245587966391203</v>
      </c>
      <c r="AA115" s="21">
        <f>EXP(-LN(2)/25)*AA114+(1-EXP(-LN(2)/25))/(LN(2)/25)*Calculateur!V115*Calculateur!X115*VLOOKUP('Données projet'!$B$9,Paramètres!$A$1:$I$89,3,0)*0.475*44/12</f>
        <v>1.2694504822118688</v>
      </c>
      <c r="AB115" s="21">
        <f>EXP(-LN(2)/2)*AB114+(1-EXP(-LN(2)/2))/(LN(2)/2)*V115*Y115*VLOOKUP('Données projet'!$B$9,Paramètres!$A$1:$I$89,3,0)*0.475*44/12</f>
        <v>2.4764141808528488E-12</v>
      </c>
      <c r="AC115" s="22">
        <f t="shared" si="57"/>
        <v>2.4940092788534654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-4.5474735088646412E-13</v>
      </c>
      <c r="AJ115" s="13">
        <f>AI115*VLOOKUP('Données projet'!$B$10,Paramètres!$A$1:$I$89,3,0)*VLOOKUP('Données projet'!$B$10,Paramètres!$A$1:$I$89,5,0)</f>
        <v>-2.7193891583010558E-13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247.30892363953825</v>
      </c>
      <c r="AO115" s="59">
        <f t="shared" si="90"/>
        <v>248.38414731596578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0.98514422162126336</v>
      </c>
      <c r="AV115" s="21">
        <f>EXP(-LN(2)/25)*AV114+(1-EXP(-LN(2)/25))/(LN(2)/25)*Calculateur!AQ115*Calculateur!AS115*VLOOKUP('Données projet'!$B$10,Paramètres!$A$1:$I$89,3,0)*0.475*44/12</f>
        <v>1.066576414417556</v>
      </c>
      <c r="AW115" s="21">
        <f>EXP(-LN(2)/2)*AW114+(1-EXP(-LN(2)/2))/(LN(2)/2)*AQ115*AT115*VLOOKUP('Données projet'!$B$10,Paramètres!$A$1:$I$89,3,0)*0.475*44/12</f>
        <v>8.6355773766505104E-12</v>
      </c>
      <c r="AX115" s="21">
        <f t="shared" si="60"/>
        <v>2.0517206360474551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-2.2737367544323206E-13</v>
      </c>
      <c r="BE115" s="13">
        <f>BD115*VLOOKUP('Données projet'!$B$11,Paramètres!$A$1:$I$89,3,0)*VLOOKUP('Données projet'!$B$11,Paramètres!$A$1:$I$89,5,0)</f>
        <v>-9.1631591203622526E-14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265.97106059040101</v>
      </c>
      <c r="BJ115" s="59">
        <f t="shared" si="92"/>
        <v>240.18718869578237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1.1360093029033613</v>
      </c>
      <c r="BQ115" s="21">
        <f>EXP(-LN(2)/25)*BQ114+(1-EXP(-LN(2)/25))/(LN(2)/25)*Calculateur!BL115*Calculateur!BN115*VLOOKUP('Données projet'!$B$11,Paramètres!$A$1:$I$89,3,0)*0.475*44/12</f>
        <v>1.1819263505562518</v>
      </c>
      <c r="BR115" s="21">
        <f>EXP(-LN(2)/2)*BR114+(1-EXP(-LN(2)/2))/(LN(2)/2)*BL115*BO115*VLOOKUP('Données projet'!$B$11,Paramètres!$A$1:$I$89,3,0)*0.475*44/12</f>
        <v>8.1338625675035058E-12</v>
      </c>
      <c r="BS115" s="22">
        <f t="shared" si="63"/>
        <v>2.3179356534677469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-4.5474735088646412E-13</v>
      </c>
      <c r="BZ115" s="13">
        <f>BY115*VLOOKUP('Données projet'!$B$12,Paramètres!$A$1:$I$89,3,0)*VLOOKUP('Données projet'!$B$12,Paramètres!$A$1:$I$89,5,0)</f>
        <v>-2.7193891583010558E-13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247.30892363953825</v>
      </c>
      <c r="CE115" s="59">
        <f t="shared" si="94"/>
        <v>248.38414731596578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0.98514422162126336</v>
      </c>
      <c r="CL115" s="21">
        <f>EXP(-LN(2)/25)*CL114+(1-EXP(-LN(2)/25))/(LN(2)/25)*Calculateur!CG115*Calculateur!CI115*VLOOKUP('Données projet'!$B$12,Paramètres!$A$1:$I$89,3,0)*0.475*44/12</f>
        <v>1.066576414417556</v>
      </c>
      <c r="CM115" s="21">
        <f>EXP(-LN(2)/2)*CM114+(1-EXP(-LN(2)/2))/(LN(2)/2)*CG115*CJ115*VLOOKUP('Données projet'!$B$12,Paramètres!$A$1:$I$89,3,0)*0.475*44/12</f>
        <v>8.6355773766505104E-12</v>
      </c>
      <c r="CN115" s="22">
        <f t="shared" si="66"/>
        <v>2.0517206360474551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191.77102466144095</v>
      </c>
      <c r="T116" s="59">
        <f t="shared" si="88"/>
        <v>205.57161411620217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1.2005459455441421</v>
      </c>
      <c r="AA116" s="21">
        <f>EXP(-LN(2)/25)*AA115+(1-EXP(-LN(2)/25))/(LN(2)/25)*Calculateur!V116*Calculateur!X116*VLOOKUP('Données projet'!$B$9,Paramètres!$A$1:$I$89,3,0)*0.475*44/12</f>
        <v>1.2347372920182857</v>
      </c>
      <c r="AB116" s="21">
        <f>EXP(-LN(2)/2)*AB115+(1-EXP(-LN(2)/2))/(LN(2)/2)*V116*Y116*VLOOKUP('Données projet'!$B$9,Paramètres!$A$1:$I$89,3,0)*0.475*44/12</f>
        <v>1.7510892603075787E-12</v>
      </c>
      <c r="AC116" s="22">
        <f t="shared" si="57"/>
        <v>2.4352832375641786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-4.5474735088646412E-13</v>
      </c>
      <c r="AJ116" s="13">
        <f>AI116*VLOOKUP('Données projet'!$B$10,Paramètres!$A$1:$I$89,3,0)*VLOOKUP('Données projet'!$B$10,Paramètres!$A$1:$I$89,5,0)</f>
        <v>-2.7193891583010558E-13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247.30892363953825</v>
      </c>
      <c r="AO116" s="59">
        <f t="shared" si="90"/>
        <v>248.38414731596578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0.96582614431391378</v>
      </c>
      <c r="AV116" s="21">
        <f>EXP(-LN(2)/25)*AV115+(1-EXP(-LN(2)/25))/(LN(2)/25)*Calculateur!AQ116*Calculateur!AS116*VLOOKUP('Données projet'!$B$10,Paramètres!$A$1:$I$89,3,0)*0.475*44/12</f>
        <v>1.0374108262764921</v>
      </c>
      <c r="AW116" s="21">
        <f>EXP(-LN(2)/2)*AW115+(1-EXP(-LN(2)/2))/(LN(2)/2)*AQ116*AT116*VLOOKUP('Données projet'!$B$10,Paramètres!$A$1:$I$89,3,0)*0.475*44/12</f>
        <v>6.1062753224907127E-12</v>
      </c>
      <c r="AX116" s="21">
        <f t="shared" si="60"/>
        <v>2.0032369705965118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-2.2737367544323206E-13</v>
      </c>
      <c r="BE116" s="13">
        <f>BD116*VLOOKUP('Données projet'!$B$11,Paramètres!$A$1:$I$89,3,0)*VLOOKUP('Données projet'!$B$11,Paramètres!$A$1:$I$89,5,0)</f>
        <v>-9.1631591203622526E-14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265.97106059040101</v>
      </c>
      <c r="BJ116" s="59">
        <f t="shared" si="92"/>
        <v>240.18718869578237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1.1137328533706832</v>
      </c>
      <c r="BQ116" s="21">
        <f>EXP(-LN(2)/25)*BQ115+(1-EXP(-LN(2)/25))/(LN(2)/25)*Calculateur!BL116*Calculateur!BN116*VLOOKUP('Données projet'!$B$11,Paramètres!$A$1:$I$89,3,0)*0.475*44/12</f>
        <v>1.1496065123454857</v>
      </c>
      <c r="BR116" s="21">
        <f>EXP(-LN(2)/2)*BR115+(1-EXP(-LN(2)/2))/(LN(2)/2)*BL116*BO116*VLOOKUP('Données projet'!$B$11,Paramètres!$A$1:$I$89,3,0)*0.475*44/12</f>
        <v>5.7515093787211512E-12</v>
      </c>
      <c r="BS116" s="22">
        <f t="shared" si="63"/>
        <v>2.2633393657219201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-4.5474735088646412E-13</v>
      </c>
      <c r="BZ116" s="13">
        <f>BY116*VLOOKUP('Données projet'!$B$12,Paramètres!$A$1:$I$89,3,0)*VLOOKUP('Données projet'!$B$12,Paramètres!$A$1:$I$89,5,0)</f>
        <v>-2.7193891583010558E-13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247.30892363953825</v>
      </c>
      <c r="CE116" s="59">
        <f t="shared" si="94"/>
        <v>248.38414731596578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0.96582614431391378</v>
      </c>
      <c r="CL116" s="21">
        <f>EXP(-LN(2)/25)*CL115+(1-EXP(-LN(2)/25))/(LN(2)/25)*Calculateur!CG116*Calculateur!CI116*VLOOKUP('Données projet'!$B$12,Paramètres!$A$1:$I$89,3,0)*0.475*44/12</f>
        <v>1.0374108262764921</v>
      </c>
      <c r="CM116" s="21">
        <f>EXP(-LN(2)/2)*CM115+(1-EXP(-LN(2)/2))/(LN(2)/2)*CG116*CJ116*VLOOKUP('Données projet'!$B$12,Paramètres!$A$1:$I$89,3,0)*0.475*44/12</f>
        <v>6.1062753224907127E-12</v>
      </c>
      <c r="CN116" s="22">
        <f t="shared" si="66"/>
        <v>2.0032369705965118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191.77102466144095</v>
      </c>
      <c r="T117" s="59">
        <f t="shared" si="88"/>
        <v>205.57161411620217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1.1770039718127434</v>
      </c>
      <c r="AA117" s="21">
        <f>EXP(-LN(2)/25)*AA116+(1-EXP(-LN(2)/25))/(LN(2)/25)*Calculateur!V117*Calculateur!X117*VLOOKUP('Données projet'!$B$9,Paramètres!$A$1:$I$89,3,0)*0.475*44/12</f>
        <v>1.2009733358360335</v>
      </c>
      <c r="AB117" s="21">
        <f>EXP(-LN(2)/2)*AB116+(1-EXP(-LN(2)/2))/(LN(2)/2)*V117*Y117*VLOOKUP('Données projet'!$B$9,Paramètres!$A$1:$I$89,3,0)*0.475*44/12</f>
        <v>1.2382070904264244E-12</v>
      </c>
      <c r="AC117" s="22">
        <f t="shared" si="57"/>
        <v>2.3779773076500152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-4.5474735088646412E-13</v>
      </c>
      <c r="AJ117" s="13">
        <f>AI117*VLOOKUP('Données projet'!$B$10,Paramètres!$A$1:$I$89,3,0)*VLOOKUP('Données projet'!$B$10,Paramètres!$A$1:$I$89,5,0)</f>
        <v>-2.7193891583010558E-13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247.30892363953825</v>
      </c>
      <c r="AO117" s="59">
        <f t="shared" si="90"/>
        <v>248.38414731596578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0.94688688271969756</v>
      </c>
      <c r="AV117" s="21">
        <f>EXP(-LN(2)/25)*AV116+(1-EXP(-LN(2)/25))/(LN(2)/25)*Calculateur!AQ117*Calculateur!AS117*VLOOKUP('Données projet'!$B$10,Paramètres!$A$1:$I$89,3,0)*0.475*44/12</f>
        <v>1.0090427726768971</v>
      </c>
      <c r="AW117" s="21">
        <f>EXP(-LN(2)/2)*AW116+(1-EXP(-LN(2)/2))/(LN(2)/2)*AQ117*AT117*VLOOKUP('Données projet'!$B$10,Paramètres!$A$1:$I$89,3,0)*0.475*44/12</f>
        <v>4.3177886883252552E-12</v>
      </c>
      <c r="AX117" s="21">
        <f t="shared" si="60"/>
        <v>1.9559296554009125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-2.2737367544323206E-13</v>
      </c>
      <c r="BE117" s="13">
        <f>BD117*VLOOKUP('Données projet'!$B$11,Paramètres!$A$1:$I$89,3,0)*VLOOKUP('Données projet'!$B$11,Paramètres!$A$1:$I$89,5,0)</f>
        <v>-9.1631591203622526E-14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265.97106059040101</v>
      </c>
      <c r="BJ117" s="59">
        <f t="shared" si="92"/>
        <v>240.18718869578237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1.0918932314260483</v>
      </c>
      <c r="BQ117" s="21">
        <f>EXP(-LN(2)/25)*BQ116+(1-EXP(-LN(2)/25))/(LN(2)/25)*Calculateur!BL117*Calculateur!BN117*VLOOKUP('Données projet'!$B$11,Paramètres!$A$1:$I$89,3,0)*0.475*44/12</f>
        <v>1.1181704618102193</v>
      </c>
      <c r="BR117" s="21">
        <f>EXP(-LN(2)/2)*BR116+(1-EXP(-LN(2)/2))/(LN(2)/2)*BL117*BO117*VLOOKUP('Données projet'!$B$11,Paramètres!$A$1:$I$89,3,0)*0.475*44/12</f>
        <v>4.0669312837517529E-12</v>
      </c>
      <c r="BS117" s="22">
        <f t="shared" si="63"/>
        <v>2.2100636932403344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-4.5474735088646412E-13</v>
      </c>
      <c r="BZ117" s="13">
        <f>BY117*VLOOKUP('Données projet'!$B$12,Paramètres!$A$1:$I$89,3,0)*VLOOKUP('Données projet'!$B$12,Paramètres!$A$1:$I$89,5,0)</f>
        <v>-2.7193891583010558E-13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247.30892363953825</v>
      </c>
      <c r="CE117" s="59">
        <f t="shared" si="94"/>
        <v>248.38414731596578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0.94688688271969756</v>
      </c>
      <c r="CL117" s="21">
        <f>EXP(-LN(2)/25)*CL116+(1-EXP(-LN(2)/25))/(LN(2)/25)*Calculateur!CG117*Calculateur!CI117*VLOOKUP('Données projet'!$B$12,Paramètres!$A$1:$I$89,3,0)*0.475*44/12</f>
        <v>1.0090427726768971</v>
      </c>
      <c r="CM117" s="21">
        <f>EXP(-LN(2)/2)*CM116+(1-EXP(-LN(2)/2))/(LN(2)/2)*CG117*CJ117*VLOOKUP('Données projet'!$B$12,Paramètres!$A$1:$I$89,3,0)*0.475*44/12</f>
        <v>4.3177886883252552E-12</v>
      </c>
      <c r="CN117" s="22">
        <f t="shared" si="66"/>
        <v>1.9559296554009125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191.77102466144095</v>
      </c>
      <c r="T118" s="59">
        <f t="shared" si="88"/>
        <v>205.57161411620217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1.1539236418270313</v>
      </c>
      <c r="AA118" s="21">
        <f>EXP(-LN(2)/25)*AA117+(1-EXP(-LN(2)/25))/(LN(2)/25)*Calculateur!V118*Calculateur!X118*VLOOKUP('Données projet'!$B$9,Paramètres!$A$1:$I$89,3,0)*0.475*44/12</f>
        <v>1.1681326568111543</v>
      </c>
      <c r="AB118" s="21">
        <f>EXP(-LN(2)/2)*AB117+(1-EXP(-LN(2)/2))/(LN(2)/2)*V118*Y118*VLOOKUP('Données projet'!$B$9,Paramètres!$A$1:$I$89,3,0)*0.475*44/12</f>
        <v>8.7554463015378937E-13</v>
      </c>
      <c r="AC118" s="22">
        <f t="shared" si="57"/>
        <v>2.3220562986390614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-4.5474735088646412E-13</v>
      </c>
      <c r="AJ118" s="13">
        <f>AI118*VLOOKUP('Données projet'!$B$10,Paramètres!$A$1:$I$89,3,0)*VLOOKUP('Données projet'!$B$10,Paramètres!$A$1:$I$89,5,0)</f>
        <v>-2.7193891583010558E-13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247.30892363953825</v>
      </c>
      <c r="AO118" s="59">
        <f t="shared" si="90"/>
        <v>248.38414731596578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0.92831900849353499</v>
      </c>
      <c r="AV118" s="21">
        <f>EXP(-LN(2)/25)*AV117+(1-EXP(-LN(2)/25))/(LN(2)/25)*Calculateur!AQ118*Calculateur!AS118*VLOOKUP('Données projet'!$B$10,Paramètres!$A$1:$I$89,3,0)*0.475*44/12</f>
        <v>0.98145044499479417</v>
      </c>
      <c r="AW118" s="21">
        <f>EXP(-LN(2)/2)*AW117+(1-EXP(-LN(2)/2))/(LN(2)/2)*AQ118*AT118*VLOOKUP('Données projet'!$B$10,Paramètres!$A$1:$I$89,3,0)*0.475*44/12</f>
        <v>3.0531376612453564E-12</v>
      </c>
      <c r="AX118" s="21">
        <f t="shared" si="60"/>
        <v>1.9097694534913823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-2.2737367544323206E-13</v>
      </c>
      <c r="BE118" s="13">
        <f>BD118*VLOOKUP('Données projet'!$B$11,Paramètres!$A$1:$I$89,3,0)*VLOOKUP('Données projet'!$B$11,Paramètres!$A$1:$I$89,5,0)</f>
        <v>-9.1631591203622526E-14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265.97106059040101</v>
      </c>
      <c r="BJ118" s="59">
        <f t="shared" si="92"/>
        <v>240.18718869578237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1.0704818711468937</v>
      </c>
      <c r="BQ118" s="21">
        <f>EXP(-LN(2)/25)*BQ117+(1-EXP(-LN(2)/25))/(LN(2)/25)*Calculateur!BL118*Calculateur!BN118*VLOOKUP('Données projet'!$B$11,Paramètres!$A$1:$I$89,3,0)*0.475*44/12</f>
        <v>1.0875940317299899</v>
      </c>
      <c r="BR118" s="21">
        <f>EXP(-LN(2)/2)*BR117+(1-EXP(-LN(2)/2))/(LN(2)/2)*BL118*BO118*VLOOKUP('Données projet'!$B$11,Paramètres!$A$1:$I$89,3,0)*0.475*44/12</f>
        <v>2.8757546893605756E-12</v>
      </c>
      <c r="BS118" s="22">
        <f t="shared" si="63"/>
        <v>2.1580759028797596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-4.5474735088646412E-13</v>
      </c>
      <c r="BZ118" s="13">
        <f>BY118*VLOOKUP('Données projet'!$B$12,Paramètres!$A$1:$I$89,3,0)*VLOOKUP('Données projet'!$B$12,Paramètres!$A$1:$I$89,5,0)</f>
        <v>-2.7193891583010558E-13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247.30892363953825</v>
      </c>
      <c r="CE118" s="59">
        <f t="shared" si="94"/>
        <v>248.38414731596578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0.92831900849353499</v>
      </c>
      <c r="CL118" s="21">
        <f>EXP(-LN(2)/25)*CL117+(1-EXP(-LN(2)/25))/(LN(2)/25)*Calculateur!CG118*Calculateur!CI118*VLOOKUP('Données projet'!$B$12,Paramètres!$A$1:$I$89,3,0)*0.475*44/12</f>
        <v>0.98145044499479417</v>
      </c>
      <c r="CM118" s="21">
        <f>EXP(-LN(2)/2)*CM117+(1-EXP(-LN(2)/2))/(LN(2)/2)*CG118*CJ118*VLOOKUP('Données projet'!$B$12,Paramètres!$A$1:$I$89,3,0)*0.475*44/12</f>
        <v>3.0531376612453564E-12</v>
      </c>
      <c r="CN118" s="22">
        <f t="shared" si="66"/>
        <v>1.9097694534913823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191.77102466144095</v>
      </c>
      <c r="T119" s="59">
        <f t="shared" si="88"/>
        <v>205.57161411620217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1.1312959030347278</v>
      </c>
      <c r="AA119" s="21">
        <f>EXP(-LN(2)/25)*AA118+(1-EXP(-LN(2)/25))/(LN(2)/25)*Calculateur!V119*Calculateur!X119*VLOOKUP('Données projet'!$B$9,Paramètres!$A$1:$I$89,3,0)*0.475*44/12</f>
        <v>1.1361900078812266</v>
      </c>
      <c r="AB119" s="21">
        <f>EXP(-LN(2)/2)*AB118+(1-EXP(-LN(2)/2))/(LN(2)/2)*V119*Y119*VLOOKUP('Données projet'!$B$9,Paramètres!$A$1:$I$89,3,0)*0.475*44/12</f>
        <v>6.1910354521321221E-13</v>
      </c>
      <c r="AC119" s="22">
        <f t="shared" si="57"/>
        <v>2.2674859109165735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-4.5474735088646412E-13</v>
      </c>
      <c r="AJ119" s="13">
        <f>AI119*VLOOKUP('Données projet'!$B$10,Paramètres!$A$1:$I$89,3,0)*VLOOKUP('Données projet'!$B$10,Paramètres!$A$1:$I$89,5,0)</f>
        <v>-2.7193891583010558E-13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247.30892363953825</v>
      </c>
      <c r="AO119" s="59">
        <f t="shared" si="90"/>
        <v>248.38414731596578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0.91011523895566249</v>
      </c>
      <c r="AV119" s="21">
        <f>EXP(-LN(2)/25)*AV118+(1-EXP(-LN(2)/25))/(LN(2)/25)*Calculateur!AQ119*Calculateur!AS119*VLOOKUP('Données projet'!$B$10,Paramètres!$A$1:$I$89,3,0)*0.475*44/12</f>
        <v>0.9546126309641757</v>
      </c>
      <c r="AW119" s="21">
        <f>EXP(-LN(2)/2)*AW118+(1-EXP(-LN(2)/2))/(LN(2)/2)*AQ119*AT119*VLOOKUP('Données projet'!$B$10,Paramètres!$A$1:$I$89,3,0)*0.475*44/12</f>
        <v>2.1588943441626276E-12</v>
      </c>
      <c r="AX119" s="21">
        <f t="shared" si="60"/>
        <v>1.8647278699219971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-2.2737367544323206E-13</v>
      </c>
      <c r="BE119" s="13">
        <f>BD119*VLOOKUP('Données projet'!$B$11,Paramètres!$A$1:$I$89,3,0)*VLOOKUP('Données projet'!$B$11,Paramètres!$A$1:$I$89,5,0)</f>
        <v>-9.1631591203622526E-14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265.97106059040101</v>
      </c>
      <c r="BJ119" s="59">
        <f t="shared" si="92"/>
        <v>240.18718869578237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1.0494903745831732</v>
      </c>
      <c r="BQ119" s="21">
        <f>EXP(-LN(2)/25)*BQ118+(1-EXP(-LN(2)/25))/(LN(2)/25)*Calculateur!BL119*Calculateur!BN119*VLOOKUP('Données projet'!$B$11,Paramètres!$A$1:$I$89,3,0)*0.475*44/12</f>
        <v>1.057853715738249</v>
      </c>
      <c r="BR119" s="21">
        <f>EXP(-LN(2)/2)*BR118+(1-EXP(-LN(2)/2))/(LN(2)/2)*BL119*BO119*VLOOKUP('Données projet'!$B$11,Paramètres!$A$1:$I$89,3,0)*0.475*44/12</f>
        <v>2.0334656418758764E-12</v>
      </c>
      <c r="BS119" s="22">
        <f t="shared" si="63"/>
        <v>2.1073440903234557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-4.5474735088646412E-13</v>
      </c>
      <c r="BZ119" s="13">
        <f>BY119*VLOOKUP('Données projet'!$B$12,Paramètres!$A$1:$I$89,3,0)*VLOOKUP('Données projet'!$B$12,Paramètres!$A$1:$I$89,5,0)</f>
        <v>-2.7193891583010558E-13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247.30892363953825</v>
      </c>
      <c r="CE119" s="59">
        <f t="shared" si="94"/>
        <v>248.38414731596578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0.91011523895566249</v>
      </c>
      <c r="CL119" s="21">
        <f>EXP(-LN(2)/25)*CL118+(1-EXP(-LN(2)/25))/(LN(2)/25)*Calculateur!CG119*Calculateur!CI119*VLOOKUP('Données projet'!$B$12,Paramètres!$A$1:$I$89,3,0)*0.475*44/12</f>
        <v>0.9546126309641757</v>
      </c>
      <c r="CM119" s="21">
        <f>EXP(-LN(2)/2)*CM118+(1-EXP(-LN(2)/2))/(LN(2)/2)*CG119*CJ119*VLOOKUP('Données projet'!$B$12,Paramètres!$A$1:$I$89,3,0)*0.475*44/12</f>
        <v>2.1588943441626276E-12</v>
      </c>
      <c r="CN119" s="22">
        <f t="shared" si="66"/>
        <v>1.8647278699219971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191.77102466144095</v>
      </c>
      <c r="T120" s="59">
        <f t="shared" si="88"/>
        <v>205.57161411620217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1.1091118803985835</v>
      </c>
      <c r="AA120" s="21">
        <f>EXP(-LN(2)/25)*AA119+(1-EXP(-LN(2)/25))/(LN(2)/25)*Calculateur!V120*Calculateur!X120*VLOOKUP('Données projet'!$B$9,Paramètres!$A$1:$I$89,3,0)*0.475*44/12</f>
        <v>1.1051208323660788</v>
      </c>
      <c r="AB120" s="21">
        <f>EXP(-LN(2)/2)*AB119+(1-EXP(-LN(2)/2))/(LN(2)/2)*V120*Y120*VLOOKUP('Données projet'!$B$9,Paramètres!$A$1:$I$89,3,0)*0.475*44/12</f>
        <v>4.3777231507689468E-13</v>
      </c>
      <c r="AC120" s="22">
        <f t="shared" si="57"/>
        <v>2.2142327127651003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-4.5474735088646412E-13</v>
      </c>
      <c r="AJ120" s="13">
        <f>AI120*VLOOKUP('Données projet'!$B$10,Paramètres!$A$1:$I$89,3,0)*VLOOKUP('Données projet'!$B$10,Paramètres!$A$1:$I$89,5,0)</f>
        <v>-2.7193891583010558E-13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247.30892363953825</v>
      </c>
      <c r="AO120" s="59">
        <f t="shared" si="90"/>
        <v>248.38414731596578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0.89226843423522462</v>
      </c>
      <c r="AV120" s="21">
        <f>EXP(-LN(2)/25)*AV119+(1-EXP(-LN(2)/25))/(LN(2)/25)*Calculateur!AQ120*Calculateur!AS120*VLOOKUP('Données projet'!$B$10,Paramètres!$A$1:$I$89,3,0)*0.475*44/12</f>
        <v>0.92850869836956385</v>
      </c>
      <c r="AW120" s="21">
        <f>EXP(-LN(2)/2)*AW119+(1-EXP(-LN(2)/2))/(LN(2)/2)*AQ120*AT120*VLOOKUP('Données projet'!$B$10,Paramètres!$A$1:$I$89,3,0)*0.475*44/12</f>
        <v>1.5265688306226782E-12</v>
      </c>
      <c r="AX120" s="21">
        <f t="shared" si="60"/>
        <v>1.8207771326063151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-2.2737367544323206E-13</v>
      </c>
      <c r="BE120" s="13">
        <f>BD120*VLOOKUP('Données projet'!$B$11,Paramètres!$A$1:$I$89,3,0)*VLOOKUP('Données projet'!$B$11,Paramètres!$A$1:$I$89,5,0)</f>
        <v>-9.1631591203622526E-14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265.97106059040101</v>
      </c>
      <c r="BJ120" s="59">
        <f t="shared" si="92"/>
        <v>240.18718869578237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1.0289105084635184</v>
      </c>
      <c r="BQ120" s="21">
        <f>EXP(-LN(2)/25)*BQ119+(1-EXP(-LN(2)/25))/(LN(2)/25)*Calculateur!BL120*Calculateur!BN120*VLOOKUP('Données projet'!$B$11,Paramètres!$A$1:$I$89,3,0)*0.475*44/12</f>
        <v>1.0289266502512775</v>
      </c>
      <c r="BR120" s="21">
        <f>EXP(-LN(2)/2)*BR119+(1-EXP(-LN(2)/2))/(LN(2)/2)*BL120*BO120*VLOOKUP('Données projet'!$B$11,Paramètres!$A$1:$I$89,3,0)*0.475*44/12</f>
        <v>1.4378773446802878E-12</v>
      </c>
      <c r="BS120" s="22">
        <f t="shared" si="63"/>
        <v>2.0578371587162341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-4.5474735088646412E-13</v>
      </c>
      <c r="BZ120" s="13">
        <f>BY120*VLOOKUP('Données projet'!$B$12,Paramètres!$A$1:$I$89,3,0)*VLOOKUP('Données projet'!$B$12,Paramètres!$A$1:$I$89,5,0)</f>
        <v>-2.7193891583010558E-13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247.30892363953825</v>
      </c>
      <c r="CE120" s="59">
        <f t="shared" si="94"/>
        <v>248.38414731596578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0.89226843423522462</v>
      </c>
      <c r="CL120" s="21">
        <f>EXP(-LN(2)/25)*CL119+(1-EXP(-LN(2)/25))/(LN(2)/25)*Calculateur!CG120*Calculateur!CI120*VLOOKUP('Données projet'!$B$12,Paramètres!$A$1:$I$89,3,0)*0.475*44/12</f>
        <v>0.92850869836956385</v>
      </c>
      <c r="CM120" s="21">
        <f>EXP(-LN(2)/2)*CM119+(1-EXP(-LN(2)/2))/(LN(2)/2)*CG120*CJ120*VLOOKUP('Données projet'!$B$12,Paramètres!$A$1:$I$89,3,0)*0.475*44/12</f>
        <v>1.5265688306226782E-12</v>
      </c>
      <c r="CN120" s="22">
        <f t="shared" si="66"/>
        <v>1.8207771326063151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191.77102466144095</v>
      </c>
      <c r="T121" s="59">
        <f t="shared" si="88"/>
        <v>205.57161411620217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1.0873628729154163</v>
      </c>
      <c r="AA121" s="21">
        <f>EXP(-LN(2)/25)*AA120+(1-EXP(-LN(2)/25))/(LN(2)/25)*Calculateur!V121*Calculateur!X121*VLOOKUP('Données projet'!$B$9,Paramètres!$A$1:$I$89,3,0)*0.475*44/12</f>
        <v>1.0749012450892497</v>
      </c>
      <c r="AB121" s="21">
        <f>EXP(-LN(2)/2)*AB120+(1-EXP(-LN(2)/2))/(LN(2)/2)*V121*Y121*VLOOKUP('Données projet'!$B$9,Paramètres!$A$1:$I$89,3,0)*0.475*44/12</f>
        <v>3.095517726066061E-13</v>
      </c>
      <c r="AC121" s="22">
        <f t="shared" si="57"/>
        <v>2.1622641180049755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-4.5474735088646412E-13</v>
      </c>
      <c r="AJ121" s="13">
        <f>AI121*VLOOKUP('Données projet'!$B$10,Paramètres!$A$1:$I$89,3,0)*VLOOKUP('Données projet'!$B$10,Paramètres!$A$1:$I$89,5,0)</f>
        <v>-2.7193891583010558E-13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247.30892363953825</v>
      </c>
      <c r="AO121" s="59">
        <f t="shared" si="90"/>
        <v>248.38414731596578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0.87477159446987851</v>
      </c>
      <c r="AV121" s="21">
        <f>EXP(-LN(2)/25)*AV120+(1-EXP(-LN(2)/25))/(LN(2)/25)*Calculateur!AQ121*Calculateur!AS121*VLOOKUP('Données projet'!$B$10,Paramètres!$A$1:$I$89,3,0)*0.475*44/12</f>
        <v>0.90311857918449778</v>
      </c>
      <c r="AW121" s="21">
        <f>EXP(-LN(2)/2)*AW120+(1-EXP(-LN(2)/2))/(LN(2)/2)*AQ121*AT121*VLOOKUP('Données projet'!$B$10,Paramètres!$A$1:$I$89,3,0)*0.475*44/12</f>
        <v>1.0794471720813138E-12</v>
      </c>
      <c r="AX121" s="21">
        <f t="shared" si="60"/>
        <v>1.7778901736554558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-2.2737367544323206E-13</v>
      </c>
      <c r="BE121" s="13">
        <f>BD121*VLOOKUP('Données projet'!$B$11,Paramètres!$A$1:$I$89,3,0)*VLOOKUP('Données projet'!$B$11,Paramètres!$A$1:$I$89,5,0)</f>
        <v>-9.1631591203622526E-14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265.97106059040101</v>
      </c>
      <c r="BJ121" s="59">
        <f t="shared" si="92"/>
        <v>240.18718869578237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1.0087342009659912</v>
      </c>
      <c r="BQ121" s="21">
        <f>EXP(-LN(2)/25)*BQ120+(1-EXP(-LN(2)/25))/(LN(2)/25)*Calculateur!BL121*Calculateur!BN121*VLOOKUP('Données projet'!$B$11,Paramètres!$A$1:$I$89,3,0)*0.475*44/12</f>
        <v>1.0007905968912554</v>
      </c>
      <c r="BR121" s="21">
        <f>EXP(-LN(2)/2)*BR120+(1-EXP(-LN(2)/2))/(LN(2)/2)*BL121*BO121*VLOOKUP('Données projet'!$B$11,Paramètres!$A$1:$I$89,3,0)*0.475*44/12</f>
        <v>1.0167328209379382E-12</v>
      </c>
      <c r="BS121" s="22">
        <f t="shared" si="63"/>
        <v>2.0095247978582633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-4.5474735088646412E-13</v>
      </c>
      <c r="BZ121" s="13">
        <f>BY121*VLOOKUP('Données projet'!$B$12,Paramètres!$A$1:$I$89,3,0)*VLOOKUP('Données projet'!$B$12,Paramètres!$A$1:$I$89,5,0)</f>
        <v>-2.7193891583010558E-13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247.30892363953825</v>
      </c>
      <c r="CE121" s="59">
        <f t="shared" si="94"/>
        <v>248.38414731596578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0.87477159446987851</v>
      </c>
      <c r="CL121" s="21">
        <f>EXP(-LN(2)/25)*CL120+(1-EXP(-LN(2)/25))/(LN(2)/25)*Calculateur!CG121*Calculateur!CI121*VLOOKUP('Données projet'!$B$12,Paramètres!$A$1:$I$89,3,0)*0.475*44/12</f>
        <v>0.90311857918449778</v>
      </c>
      <c r="CM121" s="21">
        <f>EXP(-LN(2)/2)*CM120+(1-EXP(-LN(2)/2))/(LN(2)/2)*CG121*CJ121*VLOOKUP('Données projet'!$B$12,Paramètres!$A$1:$I$89,3,0)*0.475*44/12</f>
        <v>1.0794471720813138E-12</v>
      </c>
      <c r="CN121" s="22">
        <f t="shared" si="66"/>
        <v>1.7778901736554558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191.77102466144095</v>
      </c>
      <c r="T122" s="59">
        <f t="shared" si="88"/>
        <v>205.57161411620217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1.0660403502034095</v>
      </c>
      <c r="AA122" s="21">
        <f>EXP(-LN(2)/25)*AA121+(1-EXP(-LN(2)/25))/(LN(2)/25)*Calculateur!V122*Calculateur!X122*VLOOKUP('Données projet'!$B$9,Paramètres!$A$1:$I$89,3,0)*0.475*44/12</f>
        <v>1.0455080140156843</v>
      </c>
      <c r="AB122" s="21">
        <f>EXP(-LN(2)/2)*AB121+(1-EXP(-LN(2)/2))/(LN(2)/2)*V122*Y122*VLOOKUP('Données projet'!$B$9,Paramètres!$A$1:$I$89,3,0)*0.475*44/12</f>
        <v>2.1888615753844734E-13</v>
      </c>
      <c r="AC122" s="22">
        <f t="shared" si="57"/>
        <v>2.1115483642193129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-4.5474735088646412E-13</v>
      </c>
      <c r="AJ122" s="13">
        <f>AI122*VLOOKUP('Données projet'!$B$10,Paramètres!$A$1:$I$89,3,0)*VLOOKUP('Données projet'!$B$10,Paramètres!$A$1:$I$89,5,0)</f>
        <v>-2.7193891583010558E-13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247.30892363953825</v>
      </c>
      <c r="AO122" s="59">
        <f t="shared" si="90"/>
        <v>248.38414731596578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0.85761785706031235</v>
      </c>
      <c r="AV122" s="21">
        <f>EXP(-LN(2)/25)*AV121+(1-EXP(-LN(2)/25))/(LN(2)/25)*Calculateur!AQ122*Calculateur!AS122*VLOOKUP('Données projet'!$B$10,Paramètres!$A$1:$I$89,3,0)*0.475*44/12</f>
        <v>0.8784227541437557</v>
      </c>
      <c r="AW122" s="21">
        <f>EXP(-LN(2)/2)*AW121+(1-EXP(-LN(2)/2))/(LN(2)/2)*AQ122*AT122*VLOOKUP('Données projet'!$B$10,Paramètres!$A$1:$I$89,3,0)*0.475*44/12</f>
        <v>7.6328441531133909E-13</v>
      </c>
      <c r="AX122" s="21">
        <f t="shared" si="60"/>
        <v>1.7360406112048314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-2.2737367544323206E-13</v>
      </c>
      <c r="BE122" s="13">
        <f>BD122*VLOOKUP('Données projet'!$B$11,Paramètres!$A$1:$I$89,3,0)*VLOOKUP('Données projet'!$B$11,Paramètres!$A$1:$I$89,5,0)</f>
        <v>-9.1631591203622526E-14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265.97106059040101</v>
      </c>
      <c r="BJ122" s="59">
        <f t="shared" si="92"/>
        <v>240.18718869578237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0.98895353855215817</v>
      </c>
      <c r="BQ122" s="21">
        <f>EXP(-LN(2)/25)*BQ121+(1-EXP(-LN(2)/25))/(LN(2)/25)*Calculateur!BL122*Calculateur!BN122*VLOOKUP('Données projet'!$B$11,Paramètres!$A$1:$I$89,3,0)*0.475*44/12</f>
        <v>0.9734239253899738</v>
      </c>
      <c r="BR122" s="21">
        <f>EXP(-LN(2)/2)*BR121+(1-EXP(-LN(2)/2))/(LN(2)/2)*BL122*BO122*VLOOKUP('Données projet'!$B$11,Paramètres!$A$1:$I$89,3,0)*0.475*44/12</f>
        <v>7.189386723401439E-13</v>
      </c>
      <c r="BS122" s="22">
        <f t="shared" si="63"/>
        <v>1.9623774639428508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-4.5474735088646412E-13</v>
      </c>
      <c r="BZ122" s="13">
        <f>BY122*VLOOKUP('Données projet'!$B$12,Paramètres!$A$1:$I$89,3,0)*VLOOKUP('Données projet'!$B$12,Paramètres!$A$1:$I$89,5,0)</f>
        <v>-2.7193891583010558E-13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247.30892363953825</v>
      </c>
      <c r="CE122" s="59">
        <f t="shared" si="94"/>
        <v>248.38414731596578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0.85761785706031235</v>
      </c>
      <c r="CL122" s="21">
        <f>EXP(-LN(2)/25)*CL121+(1-EXP(-LN(2)/25))/(LN(2)/25)*Calculateur!CG122*Calculateur!CI122*VLOOKUP('Données projet'!$B$12,Paramètres!$A$1:$I$89,3,0)*0.475*44/12</f>
        <v>0.8784227541437557</v>
      </c>
      <c r="CM122" s="21">
        <f>EXP(-LN(2)/2)*CM121+(1-EXP(-LN(2)/2))/(LN(2)/2)*CG122*CJ122*VLOOKUP('Données projet'!$B$12,Paramètres!$A$1:$I$89,3,0)*0.475*44/12</f>
        <v>7.6328441531133909E-13</v>
      </c>
      <c r="CN122" s="22">
        <f t="shared" si="66"/>
        <v>1.7360406112048314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191.77102466144095</v>
      </c>
      <c r="T123" s="59">
        <f t="shared" si="88"/>
        <v>205.57161411620217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1.0451359491563303</v>
      </c>
      <c r="AA123" s="21">
        <f>EXP(-LN(2)/25)*AA122+(1-EXP(-LN(2)/25))/(LN(2)/25)*Calculateur!V123*Calculateur!X123*VLOOKUP('Données projet'!$B$9,Paramètres!$A$1:$I$89,3,0)*0.475*44/12</f>
        <v>1.0169185423915486</v>
      </c>
      <c r="AB123" s="21">
        <f>EXP(-LN(2)/2)*AB122+(1-EXP(-LN(2)/2))/(LN(2)/2)*V123*Y123*VLOOKUP('Données projet'!$B$9,Paramètres!$A$1:$I$89,3,0)*0.475*44/12</f>
        <v>1.5477588630330305E-13</v>
      </c>
      <c r="AC123" s="22">
        <f t="shared" si="57"/>
        <v>2.0620544915480337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-4.5474735088646412E-13</v>
      </c>
      <c r="AJ123" s="13">
        <f>AI123*VLOOKUP('Données projet'!$B$10,Paramètres!$A$1:$I$89,3,0)*VLOOKUP('Données projet'!$B$10,Paramètres!$A$1:$I$89,5,0)</f>
        <v>-2.7193891583010558E-13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247.30892363953825</v>
      </c>
      <c r="AO123" s="59">
        <f t="shared" si="90"/>
        <v>248.38414731596578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0.84080049397860102</v>
      </c>
      <c r="AV123" s="21">
        <f>EXP(-LN(2)/25)*AV122+(1-EXP(-LN(2)/25))/(LN(2)/25)*Calculateur!AQ123*Calculateur!AS123*VLOOKUP('Données projet'!$B$10,Paramètres!$A$1:$I$89,3,0)*0.475*44/12</f>
        <v>0.85440223773744972</v>
      </c>
      <c r="AW123" s="21">
        <f>EXP(-LN(2)/2)*AW122+(1-EXP(-LN(2)/2))/(LN(2)/2)*AQ123*AT123*VLOOKUP('Données projet'!$B$10,Paramètres!$A$1:$I$89,3,0)*0.475*44/12</f>
        <v>5.397235860406569E-13</v>
      </c>
      <c r="AX123" s="21">
        <f t="shared" si="60"/>
        <v>1.6952027317165905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-2.2737367544323206E-13</v>
      </c>
      <c r="BE123" s="13">
        <f>BD123*VLOOKUP('Données projet'!$B$11,Paramètres!$A$1:$I$89,3,0)*VLOOKUP('Données projet'!$B$11,Paramètres!$A$1:$I$89,5,0)</f>
        <v>-9.1631591203622526E-14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265.97106059040101</v>
      </c>
      <c r="BJ123" s="59">
        <f t="shared" si="92"/>
        <v>240.18718869578237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0.96956076286324766</v>
      </c>
      <c r="BQ123" s="21">
        <f>EXP(-LN(2)/25)*BQ122+(1-EXP(-LN(2)/25))/(LN(2)/25)*Calculateur!BL123*Calculateur!BN123*VLOOKUP('Données projet'!$B$11,Paramètres!$A$1:$I$89,3,0)*0.475*44/12</f>
        <v>0.94680559696004551</v>
      </c>
      <c r="BR123" s="21">
        <f>EXP(-LN(2)/2)*BR122+(1-EXP(-LN(2)/2))/(LN(2)/2)*BL123*BO123*VLOOKUP('Données projet'!$B$11,Paramètres!$A$1:$I$89,3,0)*0.475*44/12</f>
        <v>5.0836641046896911E-13</v>
      </c>
      <c r="BS123" s="22">
        <f t="shared" si="63"/>
        <v>1.9163663598238014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-4.5474735088646412E-13</v>
      </c>
      <c r="BZ123" s="13">
        <f>BY123*VLOOKUP('Données projet'!$B$12,Paramètres!$A$1:$I$89,3,0)*VLOOKUP('Données projet'!$B$12,Paramètres!$A$1:$I$89,5,0)</f>
        <v>-2.7193891583010558E-13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247.30892363953825</v>
      </c>
      <c r="CE123" s="59">
        <f t="shared" si="94"/>
        <v>248.38414731596578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0.84080049397860102</v>
      </c>
      <c r="CL123" s="21">
        <f>EXP(-LN(2)/25)*CL122+(1-EXP(-LN(2)/25))/(LN(2)/25)*Calculateur!CG123*Calculateur!CI123*VLOOKUP('Données projet'!$B$12,Paramètres!$A$1:$I$89,3,0)*0.475*44/12</f>
        <v>0.85440223773744972</v>
      </c>
      <c r="CM123" s="21">
        <f>EXP(-LN(2)/2)*CM122+(1-EXP(-LN(2)/2))/(LN(2)/2)*CG123*CJ123*VLOOKUP('Données projet'!$B$12,Paramètres!$A$1:$I$89,3,0)*0.475*44/12</f>
        <v>5.397235860406569E-13</v>
      </c>
      <c r="CN123" s="22">
        <f t="shared" si="66"/>
        <v>1.6952027317165905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191.77102466144095</v>
      </c>
      <c r="T124" s="59">
        <f t="shared" si="88"/>
        <v>205.57161411620217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1.0246414706633589</v>
      </c>
      <c r="AA124" s="21">
        <f>EXP(-LN(2)/25)*AA123+(1-EXP(-LN(2)/25))/(LN(2)/25)*Calculateur!V124*Calculateur!X124*VLOOKUP('Données projet'!$B$9,Paramètres!$A$1:$I$89,3,0)*0.475*44/12</f>
        <v>0.98911085137242971</v>
      </c>
      <c r="AB124" s="21">
        <f>EXP(-LN(2)/2)*AB123+(1-EXP(-LN(2)/2))/(LN(2)/2)*V124*Y124*VLOOKUP('Données projet'!$B$9,Paramètres!$A$1:$I$89,3,0)*0.475*44/12</f>
        <v>1.0944307876922367E-13</v>
      </c>
      <c r="AC124" s="22">
        <f t="shared" si="57"/>
        <v>2.0137523220358977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-4.5474735088646412E-13</v>
      </c>
      <c r="AJ124" s="13">
        <f>AI124*VLOOKUP('Données projet'!$B$10,Paramètres!$A$1:$I$89,3,0)*VLOOKUP('Données projet'!$B$10,Paramètres!$A$1:$I$89,5,0)</f>
        <v>-2.7193891583010558E-13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247.30892363953825</v>
      </c>
      <c r="AO124" s="59">
        <f t="shared" si="90"/>
        <v>248.38414731596578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0.82431290912934352</v>
      </c>
      <c r="AV124" s="21">
        <f>EXP(-LN(2)/25)*AV123+(1-EXP(-LN(2)/25))/(LN(2)/25)*Calculateur!AQ124*Calculateur!AS124*VLOOKUP('Données projet'!$B$10,Paramètres!$A$1:$I$89,3,0)*0.475*44/12</f>
        <v>0.83103856361545825</v>
      </c>
      <c r="AW124" s="21">
        <f>EXP(-LN(2)/2)*AW123+(1-EXP(-LN(2)/2))/(LN(2)/2)*AQ124*AT124*VLOOKUP('Données projet'!$B$10,Paramètres!$A$1:$I$89,3,0)*0.475*44/12</f>
        <v>3.8164220765566954E-13</v>
      </c>
      <c r="AX124" s="21">
        <f t="shared" si="60"/>
        <v>1.6553514727451835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-9.1631591203622526E-14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265.97106059040101</v>
      </c>
      <c r="BJ124" s="59">
        <f t="shared" si="92"/>
        <v>240.18718869578237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0.95054826767717138</v>
      </c>
      <c r="BQ124" s="21">
        <f>EXP(-LN(2)/25)*BQ123+(1-EXP(-LN(2)/25))/(LN(2)/25)*Calculateur!BL124*Calculateur!BN124*VLOOKUP('Données projet'!$B$11,Paramètres!$A$1:$I$89,3,0)*0.475*44/12</f>
        <v>0.92091514812083064</v>
      </c>
      <c r="BR124" s="21">
        <f>EXP(-LN(2)/2)*BR123+(1-EXP(-LN(2)/2))/(LN(2)/2)*BL124*BO124*VLOOKUP('Données projet'!$B$11,Paramètres!$A$1:$I$89,3,0)*0.475*44/12</f>
        <v>3.5946933617007195E-13</v>
      </c>
      <c r="BS124" s="22">
        <f t="shared" si="63"/>
        <v>1.8714634157983616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-4.5474735088646412E-13</v>
      </c>
      <c r="BZ124" s="13">
        <f>BY124*VLOOKUP('Données projet'!$B$12,Paramètres!$A$1:$I$89,3,0)*VLOOKUP('Données projet'!$B$12,Paramètres!$A$1:$I$89,5,0)</f>
        <v>-2.7193891583010558E-13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247.30892363953825</v>
      </c>
      <c r="CE124" s="59">
        <f t="shared" si="94"/>
        <v>248.38414731596578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0.82431290912934352</v>
      </c>
      <c r="CL124" s="21">
        <f>EXP(-LN(2)/25)*CL123+(1-EXP(-LN(2)/25))/(LN(2)/25)*Calculateur!CG124*Calculateur!CI124*VLOOKUP('Données projet'!$B$12,Paramètres!$A$1:$I$89,3,0)*0.475*44/12</f>
        <v>0.83103856361545825</v>
      </c>
      <c r="CM124" s="21">
        <f>EXP(-LN(2)/2)*CM123+(1-EXP(-LN(2)/2))/(LN(2)/2)*CG124*CJ124*VLOOKUP('Données projet'!$B$12,Paramètres!$A$1:$I$89,3,0)*0.475*44/12</f>
        <v>3.8164220765566954E-13</v>
      </c>
      <c r="CN124" s="22">
        <f t="shared" si="66"/>
        <v>1.6553514727451835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191.77102466144095</v>
      </c>
      <c r="T125" s="59">
        <f t="shared" si="88"/>
        <v>205.57161411620217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1.0045488763932369</v>
      </c>
      <c r="AA125" s="21">
        <f>EXP(-LN(2)/25)*AA124+(1-EXP(-LN(2)/25))/(LN(2)/25)*Calculateur!V125*Calculateur!X125*VLOOKUP('Données projet'!$B$9,Paramètres!$A$1:$I$89,3,0)*0.475*44/12</f>
        <v>0.9620635631265716</v>
      </c>
      <c r="AB125" s="21">
        <f>EXP(-LN(2)/2)*AB124+(1-EXP(-LN(2)/2))/(LN(2)/2)*V125*Y125*VLOOKUP('Données projet'!$B$9,Paramètres!$A$1:$I$89,3,0)*0.475*44/12</f>
        <v>7.7387943151651526E-14</v>
      </c>
      <c r="AC125" s="22">
        <f t="shared" si="57"/>
        <v>1.9666124395198861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-4.5474735088646412E-13</v>
      </c>
      <c r="AJ125" s="13">
        <f>AI125*VLOOKUP('Données projet'!$B$10,Paramètres!$A$1:$I$89,3,0)*VLOOKUP('Données projet'!$B$10,Paramètres!$A$1:$I$89,5,0)</f>
        <v>-2.7193891583010558E-13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247.30892363953825</v>
      </c>
      <c r="AO125" s="59">
        <f t="shared" si="90"/>
        <v>248.38414731596578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0.80814863576254614</v>
      </c>
      <c r="AV125" s="21">
        <f>EXP(-LN(2)/25)*AV124+(1-EXP(-LN(2)/25))/(LN(2)/25)*Calculateur!AQ125*Calculateur!AS125*VLOOKUP('Données projet'!$B$10,Paramètres!$A$1:$I$89,3,0)*0.475*44/12</f>
        <v>0.80831377039097485</v>
      </c>
      <c r="AW125" s="21">
        <f>EXP(-LN(2)/2)*AW124+(1-EXP(-LN(2)/2))/(LN(2)/2)*AQ125*AT125*VLOOKUP('Données projet'!$B$10,Paramètres!$A$1:$I$89,3,0)*0.475*44/12</f>
        <v>2.6986179302032845E-13</v>
      </c>
      <c r="AX125" s="21">
        <f t="shared" si="60"/>
        <v>1.6164624061537907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-9.1631591203622526E-14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265.97106059040101</v>
      </c>
      <c r="BJ125" s="59">
        <f t="shared" si="92"/>
        <v>240.18718869578237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0.93190859592521713</v>
      </c>
      <c r="BQ125" s="21">
        <f>EXP(-LN(2)/25)*BQ124+(1-EXP(-LN(2)/25))/(LN(2)/25)*Calculateur!BL125*Calculateur!BN125*VLOOKUP('Données projet'!$B$11,Paramètres!$A$1:$I$89,3,0)*0.475*44/12</f>
        <v>0.89573267496664366</v>
      </c>
      <c r="BR125" s="21">
        <f>EXP(-LN(2)/2)*BR124+(1-EXP(-LN(2)/2))/(LN(2)/2)*BL125*BO125*VLOOKUP('Données projet'!$B$11,Paramètres!$A$1:$I$89,3,0)*0.475*44/12</f>
        <v>2.5418320523448456E-13</v>
      </c>
      <c r="BS125" s="22">
        <f t="shared" si="63"/>
        <v>1.827641270892115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-4.5474735088646412E-13</v>
      </c>
      <c r="BZ125" s="13">
        <f>BY125*VLOOKUP('Données projet'!$B$12,Paramètres!$A$1:$I$89,3,0)*VLOOKUP('Données projet'!$B$12,Paramètres!$A$1:$I$89,5,0)</f>
        <v>-2.7193891583010558E-13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247.30892363953825</v>
      </c>
      <c r="CE125" s="59">
        <f t="shared" si="94"/>
        <v>248.38414731596578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0.80814863576254614</v>
      </c>
      <c r="CL125" s="21">
        <f>EXP(-LN(2)/25)*CL124+(1-EXP(-LN(2)/25))/(LN(2)/25)*Calculateur!CG125*Calculateur!CI125*VLOOKUP('Données projet'!$B$12,Paramètres!$A$1:$I$89,3,0)*0.475*44/12</f>
        <v>0.80831377039097485</v>
      </c>
      <c r="CM125" s="21">
        <f>EXP(-LN(2)/2)*CM124+(1-EXP(-LN(2)/2))/(LN(2)/2)*CG125*CJ125*VLOOKUP('Données projet'!$B$12,Paramètres!$A$1:$I$89,3,0)*0.475*44/12</f>
        <v>2.6986179302032845E-13</v>
      </c>
      <c r="CN125" s="22">
        <f t="shared" si="66"/>
        <v>1.6164624061537907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191.77102466144095</v>
      </c>
      <c r="T126" s="59">
        <f t="shared" si="88"/>
        <v>205.57161411620217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0.98485028564147958</v>
      </c>
      <c r="AA126" s="21">
        <f>EXP(-LN(2)/25)*AA125+(1-EXP(-LN(2)/25))/(LN(2)/25)*Calculateur!V126*Calculateur!X126*VLOOKUP('Données projet'!$B$9,Paramètres!$A$1:$I$89,3,0)*0.475*44/12</f>
        <v>0.93575588440015156</v>
      </c>
      <c r="AB126" s="21">
        <f>EXP(-LN(2)/2)*AB125+(1-EXP(-LN(2)/2))/(LN(2)/2)*V126*Y126*VLOOKUP('Données projet'!$B$9,Paramètres!$A$1:$I$89,3,0)*0.475*44/12</f>
        <v>5.4721539384611835E-14</v>
      </c>
      <c r="AC126" s="22">
        <f t="shared" si="57"/>
        <v>1.9206061700416859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-4.5474735088646412E-13</v>
      </c>
      <c r="AJ126" s="13">
        <f>AI126*VLOOKUP('Données projet'!$B$10,Paramètres!$A$1:$I$89,3,0)*VLOOKUP('Données projet'!$B$10,Paramètres!$A$1:$I$89,5,0)</f>
        <v>-2.7193891583010558E-13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247.30892363953825</v>
      </c>
      <c r="AO126" s="59">
        <f t="shared" si="90"/>
        <v>248.38414731596578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0.79230133393723845</v>
      </c>
      <c r="AV126" s="21">
        <f>EXP(-LN(2)/25)*AV125+(1-EXP(-LN(2)/25))/(LN(2)/25)*Calculateur!AQ126*Calculateur!AS126*VLOOKUP('Données projet'!$B$10,Paramètres!$A$1:$I$89,3,0)*0.475*44/12</f>
        <v>0.78621038783225994</v>
      </c>
      <c r="AW126" s="21">
        <f>EXP(-LN(2)/2)*AW125+(1-EXP(-LN(2)/2))/(LN(2)/2)*AQ126*AT126*VLOOKUP('Données projet'!$B$10,Paramètres!$A$1:$I$89,3,0)*0.475*44/12</f>
        <v>1.9082110382783477E-13</v>
      </c>
      <c r="AX126" s="21">
        <f t="shared" si="60"/>
        <v>1.5785117217696891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-9.1631591203622526E-14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265.97106059040101</v>
      </c>
      <c r="BJ126" s="59">
        <f t="shared" si="92"/>
        <v>240.18718869578237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0.91363443676724154</v>
      </c>
      <c r="BQ126" s="21">
        <f>EXP(-LN(2)/25)*BQ125+(1-EXP(-LN(2)/25))/(LN(2)/25)*Calculateur!BL126*Calculateur!BN126*VLOOKUP('Données projet'!$B$11,Paramètres!$A$1:$I$89,3,0)*0.475*44/12</f>
        <v>0.87123881786514668</v>
      </c>
      <c r="BR126" s="21">
        <f>EXP(-LN(2)/2)*BR125+(1-EXP(-LN(2)/2))/(LN(2)/2)*BL126*BO126*VLOOKUP('Données projet'!$B$11,Paramètres!$A$1:$I$89,3,0)*0.475*44/12</f>
        <v>1.7973466808503597E-13</v>
      </c>
      <c r="BS126" s="22">
        <f t="shared" si="63"/>
        <v>1.7848732546325679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-4.5474735088646412E-13</v>
      </c>
      <c r="BZ126" s="13">
        <f>BY126*VLOOKUP('Données projet'!$B$12,Paramètres!$A$1:$I$89,3,0)*VLOOKUP('Données projet'!$B$12,Paramètres!$A$1:$I$89,5,0)</f>
        <v>-2.7193891583010558E-13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247.30892363953825</v>
      </c>
      <c r="CE126" s="59">
        <f t="shared" si="94"/>
        <v>248.38414731596578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0.79230133393723845</v>
      </c>
      <c r="CL126" s="21">
        <f>EXP(-LN(2)/25)*CL125+(1-EXP(-LN(2)/25))/(LN(2)/25)*Calculateur!CG126*Calculateur!CI126*VLOOKUP('Données projet'!$B$12,Paramètres!$A$1:$I$89,3,0)*0.475*44/12</f>
        <v>0.78621038783225994</v>
      </c>
      <c r="CM126" s="21">
        <f>EXP(-LN(2)/2)*CM125+(1-EXP(-LN(2)/2))/(LN(2)/2)*CG126*CJ126*VLOOKUP('Données projet'!$B$12,Paramètres!$A$1:$I$89,3,0)*0.475*44/12</f>
        <v>1.9082110382783477E-13</v>
      </c>
      <c r="CN126" s="22">
        <f t="shared" si="66"/>
        <v>1.5785117217696891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191.77102466144095</v>
      </c>
      <c r="T127" s="59">
        <f t="shared" si="88"/>
        <v>205.57161411620217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0.96553797223941029</v>
      </c>
      <c r="AA127" s="21">
        <f>EXP(-LN(2)/25)*AA126+(1-EXP(-LN(2)/25))/(LN(2)/25)*Calculateur!V127*Calculateur!X127*VLOOKUP('Données projet'!$B$9,Paramètres!$A$1:$I$89,3,0)*0.475*44/12</f>
        <v>0.91016759053196616</v>
      </c>
      <c r="AB127" s="21">
        <f>EXP(-LN(2)/2)*AB126+(1-EXP(-LN(2)/2))/(LN(2)/2)*V127*Y127*VLOOKUP('Données projet'!$B$9,Paramètres!$A$1:$I$89,3,0)*0.475*44/12</f>
        <v>3.8693971575825763E-14</v>
      </c>
      <c r="AC127" s="22">
        <f t="shared" si="57"/>
        <v>1.8757055627714152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-4.5474735088646412E-13</v>
      </c>
      <c r="AJ127" s="13">
        <f>AI127*VLOOKUP('Données projet'!$B$10,Paramètres!$A$1:$I$89,3,0)*VLOOKUP('Données projet'!$B$10,Paramètres!$A$1:$I$89,5,0)</f>
        <v>-2.7193891583010558E-13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247.30892363953825</v>
      </c>
      <c r="AO127" s="59">
        <f t="shared" si="90"/>
        <v>248.38414731596578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0.77676478803482529</v>
      </c>
      <c r="AV127" s="21">
        <f>EXP(-LN(2)/25)*AV126+(1-EXP(-LN(2)/25))/(LN(2)/25)*Calculateur!AQ127*Calculateur!AS127*VLOOKUP('Données projet'!$B$10,Paramètres!$A$1:$I$89,3,0)*0.475*44/12</f>
        <v>0.7647114234319794</v>
      </c>
      <c r="AW127" s="21">
        <f>EXP(-LN(2)/2)*AW126+(1-EXP(-LN(2)/2))/(LN(2)/2)*AQ127*AT127*VLOOKUP('Données projet'!$B$10,Paramètres!$A$1:$I$89,3,0)*0.475*44/12</f>
        <v>1.3493089651016423E-13</v>
      </c>
      <c r="AX127" s="21">
        <f t="shared" si="60"/>
        <v>1.5414762114669398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-9.1631591203622526E-14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265.97106059040101</v>
      </c>
      <c r="BJ127" s="59">
        <f t="shared" si="92"/>
        <v>240.18718869578237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0.89571862272421732</v>
      </c>
      <c r="BQ127" s="21">
        <f>EXP(-LN(2)/25)*BQ126+(1-EXP(-LN(2)/25))/(LN(2)/25)*Calculateur!BL127*Calculateur!BN127*VLOOKUP('Données projet'!$B$11,Paramètres!$A$1:$I$89,3,0)*0.475*44/12</f>
        <v>0.84741474657416604</v>
      </c>
      <c r="BR127" s="21">
        <f>EXP(-LN(2)/2)*BR126+(1-EXP(-LN(2)/2))/(LN(2)/2)*BL127*BO127*VLOOKUP('Données projet'!$B$11,Paramètres!$A$1:$I$89,3,0)*0.475*44/12</f>
        <v>1.2709160261724228E-13</v>
      </c>
      <c r="BS127" s="22">
        <f t="shared" si="63"/>
        <v>1.7431333692985103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-4.5474735088646412E-13</v>
      </c>
      <c r="BZ127" s="13">
        <f>BY127*VLOOKUP('Données projet'!$B$12,Paramètres!$A$1:$I$89,3,0)*VLOOKUP('Données projet'!$B$12,Paramètres!$A$1:$I$89,5,0)</f>
        <v>-2.7193891583010558E-13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247.30892363953825</v>
      </c>
      <c r="CE127" s="59">
        <f t="shared" si="94"/>
        <v>248.38414731596578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0.77676478803482529</v>
      </c>
      <c r="CL127" s="21">
        <f>EXP(-LN(2)/25)*CL126+(1-EXP(-LN(2)/25))/(LN(2)/25)*Calculateur!CG127*Calculateur!CI127*VLOOKUP('Données projet'!$B$12,Paramètres!$A$1:$I$89,3,0)*0.475*44/12</f>
        <v>0.7647114234319794</v>
      </c>
      <c r="CM127" s="21">
        <f>EXP(-LN(2)/2)*CM126+(1-EXP(-LN(2)/2))/(LN(2)/2)*CG127*CJ127*VLOOKUP('Données projet'!$B$12,Paramètres!$A$1:$I$89,3,0)*0.475*44/12</f>
        <v>1.3493089651016423E-13</v>
      </c>
      <c r="CN127" s="22">
        <f t="shared" si="66"/>
        <v>1.5414762114669398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191.77102466144095</v>
      </c>
      <c r="T128" s="59">
        <f t="shared" si="88"/>
        <v>205.57161411620217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0.94660436152380745</v>
      </c>
      <c r="AA128" s="21">
        <f>EXP(-LN(2)/25)*AA127+(1-EXP(-LN(2)/25))/(LN(2)/25)*Calculateur!V128*Calculateur!X128*VLOOKUP('Données projet'!$B$9,Paramètres!$A$1:$I$89,3,0)*0.475*44/12</f>
        <v>0.88527900990523622</v>
      </c>
      <c r="AB128" s="21">
        <f>EXP(-LN(2)/2)*AB127+(1-EXP(-LN(2)/2))/(LN(2)/2)*V128*Y128*VLOOKUP('Données projet'!$B$9,Paramètres!$A$1:$I$89,3,0)*0.475*44/12</f>
        <v>2.7360769692305918E-14</v>
      </c>
      <c r="AC128" s="22">
        <f t="shared" si="57"/>
        <v>1.831883371429071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-4.5474735088646412E-13</v>
      </c>
      <c r="AJ128" s="13">
        <f>AI128*VLOOKUP('Données projet'!$B$10,Paramètres!$A$1:$I$89,3,0)*VLOOKUP('Données projet'!$B$10,Paramètres!$A$1:$I$89,5,0)</f>
        <v>-2.7193891583010558E-13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247.30892363953825</v>
      </c>
      <c r="AO128" s="59">
        <f t="shared" si="90"/>
        <v>248.38414731596578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0.76153290432120124</v>
      </c>
      <c r="AV128" s="21">
        <f>EXP(-LN(2)/25)*AV127+(1-EXP(-LN(2)/25))/(LN(2)/25)*Calculateur!AQ128*Calculateur!AS128*VLOOKUP('Données projet'!$B$10,Paramètres!$A$1:$I$89,3,0)*0.475*44/12</f>
        <v>0.7438003493438059</v>
      </c>
      <c r="AW128" s="21">
        <f>EXP(-LN(2)/2)*AW127+(1-EXP(-LN(2)/2))/(LN(2)/2)*AQ128*AT128*VLOOKUP('Données projet'!$B$10,Paramètres!$A$1:$I$89,3,0)*0.475*44/12</f>
        <v>9.5410551913917386E-14</v>
      </c>
      <c r="AX128" s="21">
        <f t="shared" si="60"/>
        <v>1.5053332536651025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-9.1631591203622526E-14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265.97106059040101</v>
      </c>
      <c r="BJ128" s="59">
        <f t="shared" si="92"/>
        <v>240.18718869578237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0.87815412686700922</v>
      </c>
      <c r="BQ128" s="21">
        <f>EXP(-LN(2)/25)*BQ127+(1-EXP(-LN(2)/25))/(LN(2)/25)*Calculateur!BL128*Calculateur!BN128*VLOOKUP('Données projet'!$B$11,Paramètres!$A$1:$I$89,3,0)*0.475*44/12</f>
        <v>0.82424214576549071</v>
      </c>
      <c r="BR128" s="21">
        <f>EXP(-LN(2)/2)*BR127+(1-EXP(-LN(2)/2))/(LN(2)/2)*BL128*BO128*VLOOKUP('Données projet'!$B$11,Paramètres!$A$1:$I$89,3,0)*0.475*44/12</f>
        <v>8.9867334042517987E-14</v>
      </c>
      <c r="BS128" s="22">
        <f t="shared" si="63"/>
        <v>1.7023962726325899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-4.5474735088646412E-13</v>
      </c>
      <c r="BZ128" s="13">
        <f>BY128*VLOOKUP('Données projet'!$B$12,Paramètres!$A$1:$I$89,3,0)*VLOOKUP('Données projet'!$B$12,Paramètres!$A$1:$I$89,5,0)</f>
        <v>-2.7193891583010558E-13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247.30892363953825</v>
      </c>
      <c r="CE128" s="59">
        <f t="shared" si="94"/>
        <v>248.38414731596578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0.76153290432120124</v>
      </c>
      <c r="CL128" s="21">
        <f>EXP(-LN(2)/25)*CL127+(1-EXP(-LN(2)/25))/(LN(2)/25)*Calculateur!CG128*Calculateur!CI128*VLOOKUP('Données projet'!$B$12,Paramètres!$A$1:$I$89,3,0)*0.475*44/12</f>
        <v>0.7438003493438059</v>
      </c>
      <c r="CM128" s="21">
        <f>EXP(-LN(2)/2)*CM127+(1-EXP(-LN(2)/2))/(LN(2)/2)*CG128*CJ128*VLOOKUP('Données projet'!$B$12,Paramètres!$A$1:$I$89,3,0)*0.475*44/12</f>
        <v>9.5410551913917386E-14</v>
      </c>
      <c r="CN128" s="22">
        <f t="shared" si="66"/>
        <v>1.5053332536651025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191.77102466144095</v>
      </c>
      <c r="T129" s="59">
        <f t="shared" si="88"/>
        <v>205.57161411620217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0.92804202736597541</v>
      </c>
      <c r="AA129" s="21">
        <f>EXP(-LN(2)/25)*AA128+(1-EXP(-LN(2)/25))/(LN(2)/25)*Calculateur!V129*Calculateur!X129*VLOOKUP('Données projet'!$B$9,Paramètres!$A$1:$I$89,3,0)*0.475*44/12</f>
        <v>0.86107100882457777</v>
      </c>
      <c r="AB129" s="21">
        <f>EXP(-LN(2)/2)*AB128+(1-EXP(-LN(2)/2))/(LN(2)/2)*V129*Y129*VLOOKUP('Données projet'!$B$9,Paramètres!$A$1:$I$89,3,0)*0.475*44/12</f>
        <v>1.9346985787912882E-14</v>
      </c>
      <c r="AC129" s="22">
        <f t="shared" si="57"/>
        <v>1.7891130361905725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-4.5474735088646412E-13</v>
      </c>
      <c r="AJ129" s="13">
        <f>AI129*VLOOKUP('Données projet'!$B$10,Paramètres!$A$1:$I$89,3,0)*VLOOKUP('Données projet'!$B$10,Paramètres!$A$1:$I$89,5,0)</f>
        <v>-2.7193891583010558E-13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247.30892363953825</v>
      </c>
      <c r="AO129" s="59">
        <f t="shared" si="90"/>
        <v>248.38414731596578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0.74659970855666957</v>
      </c>
      <c r="AV129" s="21">
        <f>EXP(-LN(2)/25)*AV128+(1-EXP(-LN(2)/25))/(LN(2)/25)*Calculateur!AQ129*Calculateur!AS129*VLOOKUP('Données projet'!$B$10,Paramètres!$A$1:$I$89,3,0)*0.475*44/12</f>
        <v>0.72346108967623912</v>
      </c>
      <c r="AW129" s="21">
        <f>EXP(-LN(2)/2)*AW128+(1-EXP(-LN(2)/2))/(LN(2)/2)*AQ129*AT129*VLOOKUP('Données projet'!$B$10,Paramètres!$A$1:$I$89,3,0)*0.475*44/12</f>
        <v>6.7465448255082113E-14</v>
      </c>
      <c r="AX129" s="21">
        <f t="shared" si="60"/>
        <v>1.4700607982329763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-9.1631591203622526E-14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265.97106059040101</v>
      </c>
      <c r="BJ129" s="59">
        <f t="shared" si="92"/>
        <v>240.18718869578237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0.8609340600602764</v>
      </c>
      <c r="BQ129" s="21">
        <f>EXP(-LN(2)/25)*BQ128+(1-EXP(-LN(2)/25))/(LN(2)/25)*Calculateur!BL129*Calculateur!BN129*VLOOKUP('Données projet'!$B$11,Paramètres!$A$1:$I$89,3,0)*0.475*44/12</f>
        <v>0.80170320094452274</v>
      </c>
      <c r="BR129" s="21">
        <f>EXP(-LN(2)/2)*BR128+(1-EXP(-LN(2)/2))/(LN(2)/2)*BL129*BO129*VLOOKUP('Données projet'!$B$11,Paramètres!$A$1:$I$89,3,0)*0.475*44/12</f>
        <v>6.3545801308621139E-14</v>
      </c>
      <c r="BS129" s="22">
        <f t="shared" si="63"/>
        <v>1.6626372610048628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-4.5474735088646412E-13</v>
      </c>
      <c r="BZ129" s="13">
        <f>BY129*VLOOKUP('Données projet'!$B$12,Paramètres!$A$1:$I$89,3,0)*VLOOKUP('Données projet'!$B$12,Paramètres!$A$1:$I$89,5,0)</f>
        <v>-2.7193891583010558E-13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247.30892363953825</v>
      </c>
      <c r="CE129" s="59">
        <f t="shared" si="94"/>
        <v>248.38414731596578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0.74659970855666957</v>
      </c>
      <c r="CL129" s="21">
        <f>EXP(-LN(2)/25)*CL128+(1-EXP(-LN(2)/25))/(LN(2)/25)*Calculateur!CG129*Calculateur!CI129*VLOOKUP('Données projet'!$B$12,Paramètres!$A$1:$I$89,3,0)*0.475*44/12</f>
        <v>0.72346108967623912</v>
      </c>
      <c r="CM129" s="21">
        <f>EXP(-LN(2)/2)*CM128+(1-EXP(-LN(2)/2))/(LN(2)/2)*CG129*CJ129*VLOOKUP('Données projet'!$B$12,Paramètres!$A$1:$I$89,3,0)*0.475*44/12</f>
        <v>6.7465448255082113E-14</v>
      </c>
      <c r="CN129" s="22">
        <f t="shared" si="66"/>
        <v>1.4700607982329763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191.77102466144095</v>
      </c>
      <c r="T130" s="59">
        <f t="shared" si="88"/>
        <v>205.57161411620217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0.90984368925907255</v>
      </c>
      <c r="AA130" s="21">
        <f>EXP(-LN(2)/25)*AA129+(1-EXP(-LN(2)/25))/(LN(2)/25)*Calculateur!V130*Calculateur!X130*VLOOKUP('Données projet'!$B$9,Paramètres!$A$1:$I$89,3,0)*0.475*44/12</f>
        <v>0.83752497680651339</v>
      </c>
      <c r="AB130" s="21">
        <f>EXP(-LN(2)/2)*AB129+(1-EXP(-LN(2)/2))/(LN(2)/2)*V130*Y130*VLOOKUP('Données projet'!$B$9,Paramètres!$A$1:$I$89,3,0)*0.475*44/12</f>
        <v>1.3680384846152959E-14</v>
      </c>
      <c r="AC130" s="22">
        <f t="shared" si="57"/>
        <v>1.7473686660655998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-4.5474735088646412E-13</v>
      </c>
      <c r="AJ130" s="13">
        <f>AI130*VLOOKUP('Données projet'!$B$10,Paramètres!$A$1:$I$89,3,0)*VLOOKUP('Données projet'!$B$10,Paramètres!$A$1:$I$89,5,0)</f>
        <v>-2.7193891583010558E-13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247.30892363953825</v>
      </c>
      <c r="AO130" s="59">
        <f t="shared" si="90"/>
        <v>248.38414731596578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0.73195934365273041</v>
      </c>
      <c r="AV130" s="21">
        <f>EXP(-LN(2)/25)*AV129+(1-EXP(-LN(2)/25))/(LN(2)/25)*Calculateur!AQ130*Calculateur!AS130*VLOOKUP('Données projet'!$B$10,Paramètres!$A$1:$I$89,3,0)*0.475*44/12</f>
        <v>0.70367800813387715</v>
      </c>
      <c r="AW130" s="21">
        <f>EXP(-LN(2)/2)*AW129+(1-EXP(-LN(2)/2))/(LN(2)/2)*AQ130*AT130*VLOOKUP('Données projet'!$B$10,Paramètres!$A$1:$I$89,3,0)*0.475*44/12</f>
        <v>4.7705275956958693E-14</v>
      </c>
      <c r="AX130" s="21">
        <f t="shared" si="60"/>
        <v>1.4356373517866554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-9.1631591203622526E-14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265.97106059040101</v>
      </c>
      <c r="BJ130" s="59">
        <f t="shared" si="92"/>
        <v>240.18718869578237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0.84405166826041989</v>
      </c>
      <c r="BQ130" s="21">
        <f>EXP(-LN(2)/25)*BQ129+(1-EXP(-LN(2)/25))/(LN(2)/25)*Calculateur!BL130*Calculateur!BN130*VLOOKUP('Données projet'!$B$11,Paramètres!$A$1:$I$89,3,0)*0.475*44/12</f>
        <v>0.77978058475495571</v>
      </c>
      <c r="BR130" s="21">
        <f>EXP(-LN(2)/2)*BR129+(1-EXP(-LN(2)/2))/(LN(2)/2)*BL130*BO130*VLOOKUP('Données projet'!$B$11,Paramètres!$A$1:$I$89,3,0)*0.475*44/12</f>
        <v>4.4933667021258994E-14</v>
      </c>
      <c r="BS130" s="22">
        <f t="shared" si="63"/>
        <v>1.6238322530154203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-4.5474735088646412E-13</v>
      </c>
      <c r="BZ130" s="13">
        <f>BY130*VLOOKUP('Données projet'!$B$12,Paramètres!$A$1:$I$89,3,0)*VLOOKUP('Données projet'!$B$12,Paramètres!$A$1:$I$89,5,0)</f>
        <v>-2.7193891583010558E-13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247.30892363953825</v>
      </c>
      <c r="CE130" s="59">
        <f t="shared" si="94"/>
        <v>248.38414731596578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0.73195934365273041</v>
      </c>
      <c r="CL130" s="21">
        <f>EXP(-LN(2)/25)*CL129+(1-EXP(-LN(2)/25))/(LN(2)/25)*Calculateur!CG130*Calculateur!CI130*VLOOKUP('Données projet'!$B$12,Paramètres!$A$1:$I$89,3,0)*0.475*44/12</f>
        <v>0.70367800813387715</v>
      </c>
      <c r="CM130" s="21">
        <f>EXP(-LN(2)/2)*CM129+(1-EXP(-LN(2)/2))/(LN(2)/2)*CG130*CJ130*VLOOKUP('Données projet'!$B$12,Paramètres!$A$1:$I$89,3,0)*0.475*44/12</f>
        <v>4.7705275956958693E-14</v>
      </c>
      <c r="CN130" s="22">
        <f t="shared" si="66"/>
        <v>1.4356373517866554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191.77102466144095</v>
      </c>
      <c r="T131" s="59">
        <f t="shared" si="88"/>
        <v>205.57161411620217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0.89200220946255582</v>
      </c>
      <c r="AA131" s="21">
        <f>EXP(-LN(2)/25)*AA130+(1-EXP(-LN(2)/25))/(LN(2)/25)*Calculateur!V131*Calculateur!X131*VLOOKUP('Données projet'!$B$9,Paramètres!$A$1:$I$89,3,0)*0.475*44/12</f>
        <v>0.81462281227221489</v>
      </c>
      <c r="AB131" s="21">
        <f>EXP(-LN(2)/2)*AB130+(1-EXP(-LN(2)/2))/(LN(2)/2)*V131*Y131*VLOOKUP('Données projet'!$B$9,Paramètres!$A$1:$I$89,3,0)*0.475*44/12</f>
        <v>9.6734928939564408E-15</v>
      </c>
      <c r="AC131" s="22">
        <f t="shared" si="57"/>
        <v>1.7066250217347805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-4.5474735088646412E-13</v>
      </c>
      <c r="AJ131" s="13">
        <f>AI131*VLOOKUP('Données projet'!$B$10,Paramètres!$A$1:$I$89,3,0)*VLOOKUP('Données projet'!$B$10,Paramètres!$A$1:$I$89,5,0)</f>
        <v>-2.7193891583010558E-13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247.30892363953825</v>
      </c>
      <c r="AO131" s="59">
        <f t="shared" si="90"/>
        <v>248.38414731596578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0.71760606737481658</v>
      </c>
      <c r="AV131" s="21">
        <f>EXP(-LN(2)/25)*AV130+(1-EXP(-LN(2)/25))/(LN(2)/25)*Calculateur!AQ131*Calculateur!AS131*VLOOKUP('Données projet'!$B$10,Paramètres!$A$1:$I$89,3,0)*0.475*44/12</f>
        <v>0.68443589599663812</v>
      </c>
      <c r="AW131" s="21">
        <f>EXP(-LN(2)/2)*AW130+(1-EXP(-LN(2)/2))/(LN(2)/2)*AQ131*AT131*VLOOKUP('Données projet'!$B$10,Paramètres!$A$1:$I$89,3,0)*0.475*44/12</f>
        <v>3.3732724127541056E-14</v>
      </c>
      <c r="AX131" s="21">
        <f t="shared" si="60"/>
        <v>1.4020419633714885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-9.1631591203622526E-14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265.97106059040101</v>
      </c>
      <c r="BJ131" s="59">
        <f t="shared" si="92"/>
        <v>240.18718869578237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0.82750032986651634</v>
      </c>
      <c r="BQ131" s="21">
        <f>EXP(-LN(2)/25)*BQ130+(1-EXP(-LN(2)/25))/(LN(2)/25)*Calculateur!BL131*Calculateur!BN131*VLOOKUP('Données projet'!$B$11,Paramètres!$A$1:$I$89,3,0)*0.475*44/12</f>
        <v>0.75845744365795276</v>
      </c>
      <c r="BR131" s="21">
        <f>EXP(-LN(2)/2)*BR130+(1-EXP(-LN(2)/2))/(LN(2)/2)*BL131*BO131*VLOOKUP('Données projet'!$B$11,Paramètres!$A$1:$I$89,3,0)*0.475*44/12</f>
        <v>3.1772900654310569E-14</v>
      </c>
      <c r="BS131" s="22">
        <f t="shared" si="63"/>
        <v>1.5859577735245007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-4.5474735088646412E-13</v>
      </c>
      <c r="BZ131" s="13">
        <f>BY131*VLOOKUP('Données projet'!$B$12,Paramètres!$A$1:$I$89,3,0)*VLOOKUP('Données projet'!$B$12,Paramètres!$A$1:$I$89,5,0)</f>
        <v>-2.7193891583010558E-13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247.30892363953825</v>
      </c>
      <c r="CE131" s="59">
        <f t="shared" si="94"/>
        <v>248.38414731596578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0.71760606737481658</v>
      </c>
      <c r="CL131" s="21">
        <f>EXP(-LN(2)/25)*CL130+(1-EXP(-LN(2)/25))/(LN(2)/25)*Calculateur!CG131*Calculateur!CI131*VLOOKUP('Données projet'!$B$12,Paramètres!$A$1:$I$89,3,0)*0.475*44/12</f>
        <v>0.68443589599663812</v>
      </c>
      <c r="CM131" s="21">
        <f>EXP(-LN(2)/2)*CM130+(1-EXP(-LN(2)/2))/(LN(2)/2)*CG131*CJ131*VLOOKUP('Données projet'!$B$12,Paramètres!$A$1:$I$89,3,0)*0.475*44/12</f>
        <v>3.3732724127541056E-14</v>
      </c>
      <c r="CN131" s="22">
        <f t="shared" si="66"/>
        <v>1.4020419633714885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191.77102466144095</v>
      </c>
      <c r="T132" s="59">
        <f t="shared" si="88"/>
        <v>205.57161411620217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0.87451059020262067</v>
      </c>
      <c r="AA132" s="21">
        <f>EXP(-LN(2)/25)*AA131+(1-EXP(-LN(2)/25))/(LN(2)/25)*Calculateur!V132*Calculateur!X132*VLOOKUP('Données projet'!$B$9,Paramètres!$A$1:$I$89,3,0)*0.475*44/12</f>
        <v>0.79234690863147927</v>
      </c>
      <c r="AB132" s="21">
        <f>EXP(-LN(2)/2)*AB131+(1-EXP(-LN(2)/2))/(LN(2)/2)*V132*Y132*VLOOKUP('Données projet'!$B$9,Paramètres!$A$1:$I$89,3,0)*0.475*44/12</f>
        <v>6.8401924230764794E-15</v>
      </c>
      <c r="AC132" s="22">
        <f t="shared" ref="AC132:AC153" si="111">SUM(Z132:AB132)</f>
        <v>1.6668574988341069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-4.5474735088646412E-13</v>
      </c>
      <c r="AJ132" s="13">
        <f>AI132*VLOOKUP('Données projet'!$B$10,Paramètres!$A$1:$I$89,3,0)*VLOOKUP('Données projet'!$B$10,Paramètres!$A$1:$I$89,5,0)</f>
        <v>-2.7193891583010558E-13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247.30892363953825</v>
      </c>
      <c r="AO132" s="59">
        <f t="shared" si="90"/>
        <v>248.38414731596578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0.70353425009007864</v>
      </c>
      <c r="AV132" s="21">
        <f>EXP(-LN(2)/25)*AV131+(1-EXP(-LN(2)/25))/(LN(2)/25)*Calculateur!AQ132*Calculateur!AS132*VLOOKUP('Données projet'!$B$10,Paramètres!$A$1:$I$89,3,0)*0.475*44/12</f>
        <v>0.66571996042769055</v>
      </c>
      <c r="AW132" s="21">
        <f>EXP(-LN(2)/2)*AW131+(1-EXP(-LN(2)/2))/(LN(2)/2)*AQ132*AT132*VLOOKUP('Données projet'!$B$10,Paramètres!$A$1:$I$89,3,0)*0.475*44/12</f>
        <v>2.3852637978479347E-14</v>
      </c>
      <c r="AX132" s="21">
        <f t="shared" ref="AX132:AX153" si="114">SUM(AU132:AW132)</f>
        <v>1.3692542105177929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-9.1631591203622526E-14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265.97106059040101</v>
      </c>
      <c r="BJ132" s="59">
        <f t="shared" si="92"/>
        <v>240.18718869578237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0.81127355312319771</v>
      </c>
      <c r="BQ132" s="21">
        <f>EXP(-LN(2)/25)*BQ131+(1-EXP(-LN(2)/25))/(LN(2)/25)*Calculateur!BL132*Calculateur!BN132*VLOOKUP('Données projet'!$B$11,Paramètres!$A$1:$I$89,3,0)*0.475*44/12</f>
        <v>0.73771738497558259</v>
      </c>
      <c r="BR132" s="21">
        <f>EXP(-LN(2)/2)*BR131+(1-EXP(-LN(2)/2))/(LN(2)/2)*BL132*BO132*VLOOKUP('Données projet'!$B$11,Paramètres!$A$1:$I$89,3,0)*0.475*44/12</f>
        <v>2.2466833510629497E-14</v>
      </c>
      <c r="BS132" s="22">
        <f t="shared" ref="BS132:BS153" si="117">SUM(BP132:BR132)</f>
        <v>1.5489909380988027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-4.5474735088646412E-13</v>
      </c>
      <c r="BZ132" s="13">
        <f>BY132*VLOOKUP('Données projet'!$B$12,Paramètres!$A$1:$I$89,3,0)*VLOOKUP('Données projet'!$B$12,Paramètres!$A$1:$I$89,5,0)</f>
        <v>-2.7193891583010558E-13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247.30892363953825</v>
      </c>
      <c r="CE132" s="59">
        <f t="shared" si="94"/>
        <v>248.38414731596578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0.70353425009007864</v>
      </c>
      <c r="CL132" s="21">
        <f>EXP(-LN(2)/25)*CL131+(1-EXP(-LN(2)/25))/(LN(2)/25)*Calculateur!CG132*Calculateur!CI132*VLOOKUP('Données projet'!$B$12,Paramètres!$A$1:$I$89,3,0)*0.475*44/12</f>
        <v>0.66571996042769055</v>
      </c>
      <c r="CM132" s="21">
        <f>EXP(-LN(2)/2)*CM131+(1-EXP(-LN(2)/2))/(LN(2)/2)*CG132*CJ132*VLOOKUP('Données projet'!$B$12,Paramètres!$A$1:$I$89,3,0)*0.475*44/12</f>
        <v>2.3852637978479347E-14</v>
      </c>
      <c r="CN132" s="22">
        <f t="shared" ref="CN132:CN153" si="120">SUM(CK132:CM132)</f>
        <v>1.3692542105177929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191.77102466144095</v>
      </c>
      <c r="T133" s="59">
        <f t="shared" ref="T133:T196" si="142">$T$3</f>
        <v>205.57161411620217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0.85736197092753852</v>
      </c>
      <c r="AA133" s="21">
        <f>EXP(-LN(2)/25)*AA132+(1-EXP(-LN(2)/25))/(LN(2)/25)*Calculateur!V133*Calculateur!X133*VLOOKUP('Données projet'!$B$9,Paramètres!$A$1:$I$89,3,0)*0.475*44/12</f>
        <v>0.77068014074723845</v>
      </c>
      <c r="AB133" s="21">
        <f>EXP(-LN(2)/2)*AB132+(1-EXP(-LN(2)/2))/(LN(2)/2)*V133*Y133*VLOOKUP('Données projet'!$B$9,Paramètres!$A$1:$I$89,3,0)*0.475*44/12</f>
        <v>4.8367464469782204E-15</v>
      </c>
      <c r="AC133" s="22">
        <f t="shared" si="111"/>
        <v>1.6280421116747819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-4.5474735088646412E-13</v>
      </c>
      <c r="AJ133" s="13">
        <f>AI133*VLOOKUP('Données projet'!$B$10,Paramètres!$A$1:$I$89,3,0)*VLOOKUP('Données projet'!$B$10,Paramètres!$A$1:$I$89,5,0)</f>
        <v>-2.7193891583010558E-13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247.30892363953825</v>
      </c>
      <c r="AO133" s="59">
        <f t="shared" ref="AO133:AO196" si="144">$AO$3</f>
        <v>248.38414731596578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0.68973837255933335</v>
      </c>
      <c r="AV133" s="21">
        <f>EXP(-LN(2)/25)*AV132+(1-EXP(-LN(2)/25))/(LN(2)/25)*Calculateur!AQ133*Calculateur!AS133*VLOOKUP('Données projet'!$B$10,Paramètres!$A$1:$I$89,3,0)*0.475*44/12</f>
        <v>0.64751581310110418</v>
      </c>
      <c r="AW133" s="21">
        <f>EXP(-LN(2)/2)*AW132+(1-EXP(-LN(2)/2))/(LN(2)/2)*AQ133*AT133*VLOOKUP('Données projet'!$B$10,Paramètres!$A$1:$I$89,3,0)*0.475*44/12</f>
        <v>1.6866362063770528E-14</v>
      </c>
      <c r="AX133" s="21">
        <f t="shared" si="114"/>
        <v>1.3372541856604543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-9.1631591203622526E-14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265.97106059040101</v>
      </c>
      <c r="BJ133" s="59">
        <f t="shared" ref="BJ133:BJ196" si="146">$BJ$3</f>
        <v>240.18718869578237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0.79536497357445901</v>
      </c>
      <c r="BQ133" s="21">
        <f>EXP(-LN(2)/25)*BQ132+(1-EXP(-LN(2)/25))/(LN(2)/25)*Calculateur!BL133*Calculateur!BN133*VLOOKUP('Données projet'!$B$11,Paramètres!$A$1:$I$89,3,0)*0.475*44/12</f>
        <v>0.71754446428855412</v>
      </c>
      <c r="BR133" s="21">
        <f>EXP(-LN(2)/2)*BR132+(1-EXP(-LN(2)/2))/(LN(2)/2)*BL133*BO133*VLOOKUP('Données projet'!$B$11,Paramètres!$A$1:$I$89,3,0)*0.475*44/12</f>
        <v>1.5886450327155285E-14</v>
      </c>
      <c r="BS133" s="22">
        <f t="shared" si="117"/>
        <v>1.512909437863029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-4.5474735088646412E-13</v>
      </c>
      <c r="BZ133" s="13">
        <f>BY133*VLOOKUP('Données projet'!$B$12,Paramètres!$A$1:$I$89,3,0)*VLOOKUP('Données projet'!$B$12,Paramètres!$A$1:$I$89,5,0)</f>
        <v>-2.7193891583010558E-13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247.30892363953825</v>
      </c>
      <c r="CE133" s="59">
        <f t="shared" ref="CE133:CE196" si="148">$CE$3</f>
        <v>248.38414731596578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0.68973837255933335</v>
      </c>
      <c r="CL133" s="21">
        <f>EXP(-LN(2)/25)*CL132+(1-EXP(-LN(2)/25))/(LN(2)/25)*Calculateur!CG133*Calculateur!CI133*VLOOKUP('Données projet'!$B$12,Paramètres!$A$1:$I$89,3,0)*0.475*44/12</f>
        <v>0.64751581310110418</v>
      </c>
      <c r="CM133" s="21">
        <f>EXP(-LN(2)/2)*CM132+(1-EXP(-LN(2)/2))/(LN(2)/2)*CG133*CJ133*VLOOKUP('Données projet'!$B$12,Paramètres!$A$1:$I$89,3,0)*0.475*44/12</f>
        <v>1.6866362063770528E-14</v>
      </c>
      <c r="CN133" s="22">
        <f t="shared" si="120"/>
        <v>1.3372541856604543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191.77102466144095</v>
      </c>
      <c r="T134" s="59">
        <f t="shared" si="142"/>
        <v>205.57161411620217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0.84054962561681579</v>
      </c>
      <c r="AA134" s="21">
        <f>EXP(-LN(2)/25)*AA133+(1-EXP(-LN(2)/25))/(LN(2)/25)*Calculateur!V134*Calculateur!X134*VLOOKUP('Données projet'!$B$9,Paramètres!$A$1:$I$89,3,0)*0.475*44/12</f>
        <v>0.74960585177019801</v>
      </c>
      <c r="AB134" s="21">
        <f>EXP(-LN(2)/2)*AB133+(1-EXP(-LN(2)/2))/(LN(2)/2)*V134*Y134*VLOOKUP('Données projet'!$B$9,Paramètres!$A$1:$I$89,3,0)*0.475*44/12</f>
        <v>3.4200962115382397E-15</v>
      </c>
      <c r="AC134" s="22">
        <f t="shared" si="111"/>
        <v>1.590155477387017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-4.5474735088646412E-13</v>
      </c>
      <c r="AJ134" s="13">
        <f>AI134*VLOOKUP('Données projet'!$B$10,Paramètres!$A$1:$I$89,3,0)*VLOOKUP('Données projet'!$B$10,Paramètres!$A$1:$I$89,5,0)</f>
        <v>-2.7193891583010558E-13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247.30892363953825</v>
      </c>
      <c r="AO134" s="59">
        <f t="shared" si="144"/>
        <v>248.38414731596578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0.67621302377231152</v>
      </c>
      <c r="AV134" s="21">
        <f>EXP(-LN(2)/25)*AV133+(1-EXP(-LN(2)/25))/(LN(2)/25)*Calculateur!AQ134*Calculateur!AS134*VLOOKUP('Données projet'!$B$10,Paramètres!$A$1:$I$89,3,0)*0.475*44/12</f>
        <v>0.62980945914047781</v>
      </c>
      <c r="AW134" s="21">
        <f>EXP(-LN(2)/2)*AW133+(1-EXP(-LN(2)/2))/(LN(2)/2)*AQ134*AT134*VLOOKUP('Données projet'!$B$10,Paramètres!$A$1:$I$89,3,0)*0.475*44/12</f>
        <v>1.1926318989239673E-14</v>
      </c>
      <c r="AX134" s="21">
        <f t="shared" si="114"/>
        <v>1.3060224829128013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-9.1631591203622526E-14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265.97106059040101</v>
      </c>
      <c r="BJ134" s="59">
        <f t="shared" si="146"/>
        <v>240.18718869578237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0.77976835156739566</v>
      </c>
      <c r="BQ134" s="21">
        <f>EXP(-LN(2)/25)*BQ133+(1-EXP(-LN(2)/25))/(LN(2)/25)*Calculateur!BL134*Calculateur!BN134*VLOOKUP('Données projet'!$B$11,Paramètres!$A$1:$I$89,3,0)*0.475*44/12</f>
        <v>0.69792317317856023</v>
      </c>
      <c r="BR134" s="21">
        <f>EXP(-LN(2)/2)*BR133+(1-EXP(-LN(2)/2))/(LN(2)/2)*BL134*BO134*VLOOKUP('Données projet'!$B$11,Paramètres!$A$1:$I$89,3,0)*0.475*44/12</f>
        <v>1.1233416755314748E-14</v>
      </c>
      <c r="BS134" s="22">
        <f t="shared" si="117"/>
        <v>1.4776915247459672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-4.5474735088646412E-13</v>
      </c>
      <c r="BZ134" s="13">
        <f>BY134*VLOOKUP('Données projet'!$B$12,Paramètres!$A$1:$I$89,3,0)*VLOOKUP('Données projet'!$B$12,Paramètres!$A$1:$I$89,5,0)</f>
        <v>-2.7193891583010558E-13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247.30892363953825</v>
      </c>
      <c r="CE134" s="59">
        <f t="shared" si="148"/>
        <v>248.38414731596578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0.67621302377231152</v>
      </c>
      <c r="CL134" s="21">
        <f>EXP(-LN(2)/25)*CL133+(1-EXP(-LN(2)/25))/(LN(2)/25)*Calculateur!CG134*Calculateur!CI134*VLOOKUP('Données projet'!$B$12,Paramètres!$A$1:$I$89,3,0)*0.475*44/12</f>
        <v>0.62980945914047781</v>
      </c>
      <c r="CM134" s="21">
        <f>EXP(-LN(2)/2)*CM133+(1-EXP(-LN(2)/2))/(LN(2)/2)*CG134*CJ134*VLOOKUP('Données projet'!$B$12,Paramètres!$A$1:$I$89,3,0)*0.475*44/12</f>
        <v>1.1926318989239673E-14</v>
      </c>
      <c r="CN134" s="22">
        <f t="shared" si="120"/>
        <v>1.3060224829128013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191.77102466144095</v>
      </c>
      <c r="T135" s="59">
        <f t="shared" si="142"/>
        <v>205.57161411620217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0.8240669601431182</v>
      </c>
      <c r="AA135" s="21">
        <f>EXP(-LN(2)/25)*AA134+(1-EXP(-LN(2)/25))/(LN(2)/25)*Calculateur!V135*Calculateur!X135*VLOOKUP('Données projet'!$B$9,Paramètres!$A$1:$I$89,3,0)*0.475*44/12</f>
        <v>0.72910784033348341</v>
      </c>
      <c r="AB135" s="21">
        <f>EXP(-LN(2)/2)*AB134+(1-EXP(-LN(2)/2))/(LN(2)/2)*V135*Y135*VLOOKUP('Données projet'!$B$9,Paramètres!$A$1:$I$89,3,0)*0.475*44/12</f>
        <v>2.4183732234891102E-15</v>
      </c>
      <c r="AC135" s="22">
        <f t="shared" si="111"/>
        <v>1.5531748004766042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-4.5474735088646412E-13</v>
      </c>
      <c r="AJ135" s="13">
        <f>AI135*VLOOKUP('Données projet'!$B$10,Paramètres!$A$1:$I$89,3,0)*VLOOKUP('Données projet'!$B$10,Paramètres!$A$1:$I$89,5,0)</f>
        <v>-2.7193891583010558E-13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247.30892363953825</v>
      </c>
      <c r="AO135" s="59">
        <f t="shared" si="144"/>
        <v>248.38414731596578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0.66295289882535502</v>
      </c>
      <c r="AV135" s="21">
        <f>EXP(-LN(2)/25)*AV134+(1-EXP(-LN(2)/25))/(LN(2)/25)*Calculateur!AQ135*Calculateur!AS135*VLOOKUP('Données projet'!$B$10,Paramètres!$A$1:$I$89,3,0)*0.475*44/12</f>
        <v>0.61258728636004145</v>
      </c>
      <c r="AW135" s="21">
        <f>EXP(-LN(2)/2)*AW134+(1-EXP(-LN(2)/2))/(LN(2)/2)*AQ135*AT135*VLOOKUP('Données projet'!$B$10,Paramètres!$A$1:$I$89,3,0)*0.475*44/12</f>
        <v>8.4331810318852641E-15</v>
      </c>
      <c r="AX135" s="21">
        <f t="shared" si="114"/>
        <v>1.2755401851854049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-9.1631591203622526E-14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265.97106059040101</v>
      </c>
      <c r="BJ135" s="59">
        <f t="shared" si="146"/>
        <v>240.18718869578237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0.76447756980489068</v>
      </c>
      <c r="BQ135" s="21">
        <f>EXP(-LN(2)/25)*BQ134+(1-EXP(-LN(2)/25))/(LN(2)/25)*Calculateur!BL135*Calculateur!BN135*VLOOKUP('Données projet'!$B$11,Paramètres!$A$1:$I$89,3,0)*0.475*44/12</f>
        <v>0.6788384273058079</v>
      </c>
      <c r="BR135" s="21">
        <f>EXP(-LN(2)/2)*BR134+(1-EXP(-LN(2)/2))/(LN(2)/2)*BL135*BO135*VLOOKUP('Données projet'!$B$11,Paramètres!$A$1:$I$89,3,0)*0.475*44/12</f>
        <v>7.9432251635776424E-15</v>
      </c>
      <c r="BS135" s="22">
        <f t="shared" si="117"/>
        <v>1.4433159971107066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-4.5474735088646412E-13</v>
      </c>
      <c r="BZ135" s="13">
        <f>BY135*VLOOKUP('Données projet'!$B$12,Paramètres!$A$1:$I$89,3,0)*VLOOKUP('Données projet'!$B$12,Paramètres!$A$1:$I$89,5,0)</f>
        <v>-2.7193891583010558E-13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247.30892363953825</v>
      </c>
      <c r="CE135" s="59">
        <f t="shared" si="148"/>
        <v>248.38414731596578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0.66295289882535502</v>
      </c>
      <c r="CL135" s="21">
        <f>EXP(-LN(2)/25)*CL134+(1-EXP(-LN(2)/25))/(LN(2)/25)*Calculateur!CG135*Calculateur!CI135*VLOOKUP('Données projet'!$B$12,Paramètres!$A$1:$I$89,3,0)*0.475*44/12</f>
        <v>0.61258728636004145</v>
      </c>
      <c r="CM135" s="21">
        <f>EXP(-LN(2)/2)*CM134+(1-EXP(-LN(2)/2))/(LN(2)/2)*CG135*CJ135*VLOOKUP('Données projet'!$B$12,Paramètres!$A$1:$I$89,3,0)*0.475*44/12</f>
        <v>8.4331810318852641E-15</v>
      </c>
      <c r="CN135" s="22">
        <f t="shared" si="120"/>
        <v>1.2755401851854049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191.77102466144095</v>
      </c>
      <c r="T136" s="59">
        <f t="shared" si="142"/>
        <v>205.57161411620217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0.80790750968592662</v>
      </c>
      <c r="AA136" s="21">
        <f>EXP(-LN(2)/25)*AA135+(1-EXP(-LN(2)/25))/(LN(2)/25)*Calculateur!V136*Calculateur!X136*VLOOKUP('Données projet'!$B$9,Paramètres!$A$1:$I$89,3,0)*0.475*44/12</f>
        <v>0.70917034809744939</v>
      </c>
      <c r="AB136" s="21">
        <f>EXP(-LN(2)/2)*AB135+(1-EXP(-LN(2)/2))/(LN(2)/2)*V136*Y136*VLOOKUP('Données projet'!$B$9,Paramètres!$A$1:$I$89,3,0)*0.475*44/12</f>
        <v>1.7100481057691199E-15</v>
      </c>
      <c r="AC136" s="22">
        <f t="shared" si="111"/>
        <v>1.5170778577833777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-4.5474735088646412E-13</v>
      </c>
      <c r="AJ136" s="13">
        <f>AI136*VLOOKUP('Données projet'!$B$10,Paramètres!$A$1:$I$89,3,0)*VLOOKUP('Données projet'!$B$10,Paramètres!$A$1:$I$89,5,0)</f>
        <v>-2.7193891583010558E-13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247.30892363953825</v>
      </c>
      <c r="AO136" s="59">
        <f t="shared" si="144"/>
        <v>248.38414731596578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0.64995279684073071</v>
      </c>
      <c r="AV136" s="21">
        <f>EXP(-LN(2)/25)*AV135+(1-EXP(-LN(2)/25))/(LN(2)/25)*Calculateur!AQ136*Calculateur!AS136*VLOOKUP('Données projet'!$B$10,Paramètres!$A$1:$I$89,3,0)*0.475*44/12</f>
        <v>0.59583605479996082</v>
      </c>
      <c r="AW136" s="21">
        <f>EXP(-LN(2)/2)*AW135+(1-EXP(-LN(2)/2))/(LN(2)/2)*AQ136*AT136*VLOOKUP('Données projet'!$B$10,Paramètres!$A$1:$I$89,3,0)*0.475*44/12</f>
        <v>5.9631594946198366E-15</v>
      </c>
      <c r="AX136" s="21">
        <f t="shared" si="114"/>
        <v>1.2457888516406974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-9.1631591203622526E-14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265.97106059040101</v>
      </c>
      <c r="BJ136" s="59">
        <f t="shared" si="146"/>
        <v>240.18718869578237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0.74948663094629253</v>
      </c>
      <c r="BQ136" s="21">
        <f>EXP(-LN(2)/25)*BQ135+(1-EXP(-LN(2)/25))/(LN(2)/25)*Calculateur!BL136*Calculateur!BN136*VLOOKUP('Données projet'!$B$11,Paramètres!$A$1:$I$89,3,0)*0.475*44/12</f>
        <v>0.66027555481256917</v>
      </c>
      <c r="BR136" s="21">
        <f>EXP(-LN(2)/2)*BR135+(1-EXP(-LN(2)/2))/(LN(2)/2)*BL136*BO136*VLOOKUP('Données projet'!$B$11,Paramètres!$A$1:$I$89,3,0)*0.475*44/12</f>
        <v>5.6167083776573742E-15</v>
      </c>
      <c r="BS136" s="22">
        <f t="shared" si="117"/>
        <v>1.4097621857588674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-4.5474735088646412E-13</v>
      </c>
      <c r="BZ136" s="13">
        <f>BY136*VLOOKUP('Données projet'!$B$12,Paramètres!$A$1:$I$89,3,0)*VLOOKUP('Données projet'!$B$12,Paramètres!$A$1:$I$89,5,0)</f>
        <v>-2.7193891583010558E-13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247.30892363953825</v>
      </c>
      <c r="CE136" s="59">
        <f t="shared" si="148"/>
        <v>248.38414731596578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0.64995279684073071</v>
      </c>
      <c r="CL136" s="21">
        <f>EXP(-LN(2)/25)*CL135+(1-EXP(-LN(2)/25))/(LN(2)/25)*Calculateur!CG136*Calculateur!CI136*VLOOKUP('Données projet'!$B$12,Paramètres!$A$1:$I$89,3,0)*0.475*44/12</f>
        <v>0.59583605479996082</v>
      </c>
      <c r="CM136" s="21">
        <f>EXP(-LN(2)/2)*CM135+(1-EXP(-LN(2)/2))/(LN(2)/2)*CG136*CJ136*VLOOKUP('Données projet'!$B$12,Paramètres!$A$1:$I$89,3,0)*0.475*44/12</f>
        <v>5.9631594946198366E-15</v>
      </c>
      <c r="CN136" s="22">
        <f t="shared" si="120"/>
        <v>1.2457888516406974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191.77102466144095</v>
      </c>
      <c r="T137" s="59">
        <f t="shared" si="142"/>
        <v>205.57161411620217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0.79206493619590901</v>
      </c>
      <c r="AA137" s="21">
        <f>EXP(-LN(2)/25)*AA136+(1-EXP(-LN(2)/25))/(LN(2)/25)*Calculateur!V137*Calculateur!X137*VLOOKUP('Données projet'!$B$9,Paramètres!$A$1:$I$89,3,0)*0.475*44/12</f>
        <v>0.68977804763507689</v>
      </c>
      <c r="AB137" s="21">
        <f>EXP(-LN(2)/2)*AB136+(1-EXP(-LN(2)/2))/(LN(2)/2)*V137*Y137*VLOOKUP('Données projet'!$B$9,Paramètres!$A$1:$I$89,3,0)*0.475*44/12</f>
        <v>1.2091866117445551E-15</v>
      </c>
      <c r="AC137" s="22">
        <f t="shared" si="111"/>
        <v>1.481842983830987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-4.5474735088646412E-13</v>
      </c>
      <c r="AJ137" s="13">
        <f>AI137*VLOOKUP('Données projet'!$B$10,Paramètres!$A$1:$I$89,3,0)*VLOOKUP('Données projet'!$B$10,Paramètres!$A$1:$I$89,5,0)</f>
        <v>-2.7193891583010558E-13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247.30892363953825</v>
      </c>
      <c r="AO137" s="59">
        <f t="shared" si="144"/>
        <v>248.38414731596578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0.6372076189267456</v>
      </c>
      <c r="AV137" s="21">
        <f>EXP(-LN(2)/25)*AV136+(1-EXP(-LN(2)/25))/(LN(2)/25)*Calculateur!AQ137*Calculateur!AS137*VLOOKUP('Données projet'!$B$10,Paramètres!$A$1:$I$89,3,0)*0.475*44/12</f>
        <v>0.57954288654779962</v>
      </c>
      <c r="AW137" s="21">
        <f>EXP(-LN(2)/2)*AW136+(1-EXP(-LN(2)/2))/(LN(2)/2)*AQ137*AT137*VLOOKUP('Données projet'!$B$10,Paramètres!$A$1:$I$89,3,0)*0.475*44/12</f>
        <v>4.216590515942632E-15</v>
      </c>
      <c r="AX137" s="21">
        <f t="shared" si="114"/>
        <v>1.2167505054745493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-9.1631591203622526E-14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265.97106059040101</v>
      </c>
      <c r="BJ137" s="59">
        <f t="shared" si="146"/>
        <v>240.18718869578237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0.73478965525514162</v>
      </c>
      <c r="BQ137" s="21">
        <f>EXP(-LN(2)/25)*BQ136+(1-EXP(-LN(2)/25))/(LN(2)/25)*Calculateur!BL137*Calculateur!BN137*VLOOKUP('Données projet'!$B$11,Paramètres!$A$1:$I$89,3,0)*0.475*44/12</f>
        <v>0.6422202850438371</v>
      </c>
      <c r="BR137" s="21">
        <f>EXP(-LN(2)/2)*BR136+(1-EXP(-LN(2)/2))/(LN(2)/2)*BL137*BO137*VLOOKUP('Données projet'!$B$11,Paramètres!$A$1:$I$89,3,0)*0.475*44/12</f>
        <v>3.9716125817888212E-15</v>
      </c>
      <c r="BS137" s="22">
        <f t="shared" si="117"/>
        <v>1.3770099402989828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-4.5474735088646412E-13</v>
      </c>
      <c r="BZ137" s="13">
        <f>BY137*VLOOKUP('Données projet'!$B$12,Paramètres!$A$1:$I$89,3,0)*VLOOKUP('Données projet'!$B$12,Paramètres!$A$1:$I$89,5,0)</f>
        <v>-2.7193891583010558E-13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247.30892363953825</v>
      </c>
      <c r="CE137" s="59">
        <f t="shared" si="148"/>
        <v>248.38414731596578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0.6372076189267456</v>
      </c>
      <c r="CL137" s="21">
        <f>EXP(-LN(2)/25)*CL136+(1-EXP(-LN(2)/25))/(LN(2)/25)*Calculateur!CG137*Calculateur!CI137*VLOOKUP('Données projet'!$B$12,Paramètres!$A$1:$I$89,3,0)*0.475*44/12</f>
        <v>0.57954288654779962</v>
      </c>
      <c r="CM137" s="21">
        <f>EXP(-LN(2)/2)*CM136+(1-EXP(-LN(2)/2))/(LN(2)/2)*CG137*CJ137*VLOOKUP('Données projet'!$B$12,Paramètres!$A$1:$I$89,3,0)*0.475*44/12</f>
        <v>4.216590515942632E-15</v>
      </c>
      <c r="CN137" s="22">
        <f t="shared" si="120"/>
        <v>1.2167505054745493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191.77102466144095</v>
      </c>
      <c r="T138" s="59">
        <f t="shared" si="142"/>
        <v>205.57161411620217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0.77653302590901496</v>
      </c>
      <c r="AA138" s="21">
        <f>EXP(-LN(2)/25)*AA137+(1-EXP(-LN(2)/25))/(LN(2)/25)*Calculateur!V138*Calculateur!X138*VLOOKUP('Données projet'!$B$9,Paramètres!$A$1:$I$89,3,0)*0.475*44/12</f>
        <v>0.67091603064864469</v>
      </c>
      <c r="AB138" s="21">
        <f>EXP(-LN(2)/2)*AB137+(1-EXP(-LN(2)/2))/(LN(2)/2)*V138*Y138*VLOOKUP('Données projet'!$B$9,Paramètres!$A$1:$I$89,3,0)*0.475*44/12</f>
        <v>8.5502405288455993E-16</v>
      </c>
      <c r="AC138" s="22">
        <f t="shared" si="111"/>
        <v>1.4474490565576605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-4.5474735088646412E-13</v>
      </c>
      <c r="AJ138" s="13">
        <f>AI138*VLOOKUP('Données projet'!$B$10,Paramètres!$A$1:$I$89,3,0)*VLOOKUP('Données projet'!$B$10,Paramètres!$A$1:$I$89,5,0)</f>
        <v>-2.7193891583010558E-13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247.30892363953825</v>
      </c>
      <c r="AO138" s="59">
        <f t="shared" si="144"/>
        <v>248.38414731596578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0.62471236617786285</v>
      </c>
      <c r="AV138" s="21">
        <f>EXP(-LN(2)/25)*AV137+(1-EXP(-LN(2)/25))/(LN(2)/25)*Calculateur!AQ138*Calculateur!AS138*VLOOKUP('Données projet'!$B$10,Paramètres!$A$1:$I$89,3,0)*0.475*44/12</f>
        <v>0.56369525583831415</v>
      </c>
      <c r="AW138" s="21">
        <f>EXP(-LN(2)/2)*AW137+(1-EXP(-LN(2)/2))/(LN(2)/2)*AQ138*AT138*VLOOKUP('Données projet'!$B$10,Paramètres!$A$1:$I$89,3,0)*0.475*44/12</f>
        <v>2.9815797473099183E-15</v>
      </c>
      <c r="AX138" s="21">
        <f t="shared" si="114"/>
        <v>1.1884076220161799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-9.1631591203622526E-14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265.97106059040101</v>
      </c>
      <c r="BJ138" s="59">
        <f t="shared" si="146"/>
        <v>240.18718869578237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0.72038087829302411</v>
      </c>
      <c r="BQ138" s="21">
        <f>EXP(-LN(2)/25)*BQ137+(1-EXP(-LN(2)/25))/(LN(2)/25)*Calculateur!BL138*Calculateur!BN138*VLOOKUP('Données projet'!$B$11,Paramètres!$A$1:$I$89,3,0)*0.475*44/12</f>
        <v>0.62465873757641643</v>
      </c>
      <c r="BR138" s="21">
        <f>EXP(-LN(2)/2)*BR137+(1-EXP(-LN(2)/2))/(LN(2)/2)*BL138*BO138*VLOOKUP('Données projet'!$B$11,Paramètres!$A$1:$I$89,3,0)*0.475*44/12</f>
        <v>2.8083541888286871E-15</v>
      </c>
      <c r="BS138" s="22">
        <f t="shared" si="117"/>
        <v>1.3450396158694435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-4.5474735088646412E-13</v>
      </c>
      <c r="BZ138" s="13">
        <f>BY138*VLOOKUP('Données projet'!$B$12,Paramètres!$A$1:$I$89,3,0)*VLOOKUP('Données projet'!$B$12,Paramètres!$A$1:$I$89,5,0)</f>
        <v>-2.7193891583010558E-13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247.30892363953825</v>
      </c>
      <c r="CE138" s="59">
        <f t="shared" si="148"/>
        <v>248.38414731596578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0.62471236617786285</v>
      </c>
      <c r="CL138" s="21">
        <f>EXP(-LN(2)/25)*CL137+(1-EXP(-LN(2)/25))/(LN(2)/25)*Calculateur!CG138*Calculateur!CI138*VLOOKUP('Données projet'!$B$12,Paramètres!$A$1:$I$89,3,0)*0.475*44/12</f>
        <v>0.56369525583831415</v>
      </c>
      <c r="CM138" s="21">
        <f>EXP(-LN(2)/2)*CM137+(1-EXP(-LN(2)/2))/(LN(2)/2)*CG138*CJ138*VLOOKUP('Données projet'!$B$12,Paramètres!$A$1:$I$89,3,0)*0.475*44/12</f>
        <v>2.9815797473099183E-15</v>
      </c>
      <c r="CN138" s="22">
        <f t="shared" si="120"/>
        <v>1.1884076220161799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191.77102466144095</v>
      </c>
      <c r="T139" s="59">
        <f t="shared" si="142"/>
        <v>205.57161411620217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0.7613056869093171</v>
      </c>
      <c r="AA139" s="21">
        <f>EXP(-LN(2)/25)*AA138+(1-EXP(-LN(2)/25))/(LN(2)/25)*Calculateur!V139*Calculateur!X139*VLOOKUP('Données projet'!$B$9,Paramètres!$A$1:$I$89,3,0)*0.475*44/12</f>
        <v>0.6525697965086168</v>
      </c>
      <c r="AB139" s="21">
        <f>EXP(-LN(2)/2)*AB138+(1-EXP(-LN(2)/2))/(LN(2)/2)*V139*Y139*VLOOKUP('Données projet'!$B$9,Paramètres!$A$1:$I$89,3,0)*0.475*44/12</f>
        <v>6.0459330587227755E-16</v>
      </c>
      <c r="AC139" s="22">
        <f t="shared" si="111"/>
        <v>1.4138754834179346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-4.5474735088646412E-13</v>
      </c>
      <c r="AJ139" s="13">
        <f>AI139*VLOOKUP('Données projet'!$B$10,Paramètres!$A$1:$I$89,3,0)*VLOOKUP('Données projet'!$B$10,Paramètres!$A$1:$I$89,5,0)</f>
        <v>-2.7193891583010558E-13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247.30892363953825</v>
      </c>
      <c r="AO139" s="59">
        <f t="shared" si="144"/>
        <v>248.38414731596578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0.61246213771403402</v>
      </c>
      <c r="AV139" s="21">
        <f>EXP(-LN(2)/25)*AV138+(1-EXP(-LN(2)/25))/(LN(2)/25)*Calculateur!AQ139*Calculateur!AS139*VLOOKUP('Données projet'!$B$10,Paramètres!$A$1:$I$89,3,0)*0.475*44/12</f>
        <v>0.54828097942397025</v>
      </c>
      <c r="AW139" s="21">
        <f>EXP(-LN(2)/2)*AW138+(1-EXP(-LN(2)/2))/(LN(2)/2)*AQ139*AT139*VLOOKUP('Données projet'!$B$10,Paramètres!$A$1:$I$89,3,0)*0.475*44/12</f>
        <v>2.108295257971316E-15</v>
      </c>
      <c r="AX139" s="21">
        <f t="shared" si="114"/>
        <v>1.1607431171380063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-9.1631591203622526E-14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265.97106059040101</v>
      </c>
      <c r="BJ139" s="59">
        <f t="shared" si="146"/>
        <v>240.18718869578237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0.70625464865864762</v>
      </c>
      <c r="BQ139" s="21">
        <f>EXP(-LN(2)/25)*BQ138+(1-EXP(-LN(2)/25))/(LN(2)/25)*Calculateur!BL139*Calculateur!BN139*VLOOKUP('Données projet'!$B$11,Paramètres!$A$1:$I$89,3,0)*0.475*44/12</f>
        <v>0.60757741154801403</v>
      </c>
      <c r="BR139" s="21">
        <f>EXP(-LN(2)/2)*BR138+(1-EXP(-LN(2)/2))/(LN(2)/2)*BL139*BO139*VLOOKUP('Données projet'!$B$11,Paramètres!$A$1:$I$89,3,0)*0.475*44/12</f>
        <v>1.9858062908944106E-15</v>
      </c>
      <c r="BS139" s="22">
        <f t="shared" si="117"/>
        <v>1.3138320602066635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-4.5474735088646412E-13</v>
      </c>
      <c r="BZ139" s="13">
        <f>BY139*VLOOKUP('Données projet'!$B$12,Paramètres!$A$1:$I$89,3,0)*VLOOKUP('Données projet'!$B$12,Paramètres!$A$1:$I$89,5,0)</f>
        <v>-2.7193891583010558E-13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247.30892363953825</v>
      </c>
      <c r="CE139" s="59">
        <f t="shared" si="148"/>
        <v>248.38414731596578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0.61246213771403402</v>
      </c>
      <c r="CL139" s="21">
        <f>EXP(-LN(2)/25)*CL138+(1-EXP(-LN(2)/25))/(LN(2)/25)*Calculateur!CG139*Calculateur!CI139*VLOOKUP('Données projet'!$B$12,Paramètres!$A$1:$I$89,3,0)*0.475*44/12</f>
        <v>0.54828097942397025</v>
      </c>
      <c r="CM139" s="21">
        <f>EXP(-LN(2)/2)*CM138+(1-EXP(-LN(2)/2))/(LN(2)/2)*CG139*CJ139*VLOOKUP('Données projet'!$B$12,Paramètres!$A$1:$I$89,3,0)*0.475*44/12</f>
        <v>2.108295257971316E-15</v>
      </c>
      <c r="CN139" s="22">
        <f t="shared" si="120"/>
        <v>1.1607431171380063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191.77102466144095</v>
      </c>
      <c r="T140" s="59">
        <f t="shared" si="142"/>
        <v>205.57161411620217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0.74637694673964361</v>
      </c>
      <c r="AA140" s="21">
        <f>EXP(-LN(2)/25)*AA139+(1-EXP(-LN(2)/25))/(LN(2)/25)*Calculateur!V140*Calculateur!X140*VLOOKUP('Données projet'!$B$9,Paramètres!$A$1:$I$89,3,0)*0.475*44/12</f>
        <v>0.63472524110593453</v>
      </c>
      <c r="AB140" s="21">
        <f>EXP(-LN(2)/2)*AB139+(1-EXP(-LN(2)/2))/(LN(2)/2)*V140*Y140*VLOOKUP('Données projet'!$B$9,Paramètres!$A$1:$I$89,3,0)*0.475*44/12</f>
        <v>4.2751202644227996E-16</v>
      </c>
      <c r="AC140" s="22">
        <f t="shared" si="111"/>
        <v>1.3811021878455785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-4.5474735088646412E-13</v>
      </c>
      <c r="AJ140" s="13">
        <f>AI140*VLOOKUP('Données projet'!$B$10,Paramètres!$A$1:$I$89,3,0)*VLOOKUP('Données projet'!$B$10,Paramètres!$A$1:$I$89,5,0)</f>
        <v>-2.7193891583010558E-13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247.30892363953825</v>
      </c>
      <c r="AO140" s="59">
        <f t="shared" si="144"/>
        <v>248.38414731596578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0.60045212875847931</v>
      </c>
      <c r="AV140" s="21">
        <f>EXP(-LN(2)/25)*AV139+(1-EXP(-LN(2)/25))/(LN(2)/25)*Calculateur!AQ140*Calculateur!AS140*VLOOKUP('Données projet'!$B$10,Paramètres!$A$1:$I$89,3,0)*0.475*44/12</f>
        <v>0.53328820720877823</v>
      </c>
      <c r="AW140" s="21">
        <f>EXP(-LN(2)/2)*AW139+(1-EXP(-LN(2)/2))/(LN(2)/2)*AQ140*AT140*VLOOKUP('Données projet'!$B$10,Paramètres!$A$1:$I$89,3,0)*0.475*44/12</f>
        <v>1.4907898736549592E-15</v>
      </c>
      <c r="AX140" s="21">
        <f t="shared" si="114"/>
        <v>1.1337403359672591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-9.1631591203622526E-14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265.97106059040101</v>
      </c>
      <c r="BJ140" s="59">
        <f t="shared" si="146"/>
        <v>240.18718869578237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0.69240542577125197</v>
      </c>
      <c r="BQ140" s="21">
        <f>EXP(-LN(2)/25)*BQ139+(1-EXP(-LN(2)/25))/(LN(2)/25)*Calculateur!BL140*Calculateur!BN140*VLOOKUP('Données projet'!$B$11,Paramètres!$A$1:$I$89,3,0)*0.475*44/12</f>
        <v>0.59096317527812614</v>
      </c>
      <c r="BR140" s="21">
        <f>EXP(-LN(2)/2)*BR139+(1-EXP(-LN(2)/2))/(LN(2)/2)*BL140*BO140*VLOOKUP('Données projet'!$B$11,Paramètres!$A$1:$I$89,3,0)*0.475*44/12</f>
        <v>1.4041770944143436E-15</v>
      </c>
      <c r="BS140" s="22">
        <f t="shared" si="117"/>
        <v>1.2833686010493794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-4.5474735088646412E-13</v>
      </c>
      <c r="BZ140" s="13">
        <f>BY140*VLOOKUP('Données projet'!$B$12,Paramètres!$A$1:$I$89,3,0)*VLOOKUP('Données projet'!$B$12,Paramètres!$A$1:$I$89,5,0)</f>
        <v>-2.7193891583010558E-13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247.30892363953825</v>
      </c>
      <c r="CE140" s="59">
        <f t="shared" si="148"/>
        <v>248.38414731596578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0.60045212875847931</v>
      </c>
      <c r="CL140" s="21">
        <f>EXP(-LN(2)/25)*CL139+(1-EXP(-LN(2)/25))/(LN(2)/25)*Calculateur!CG140*Calculateur!CI140*VLOOKUP('Données projet'!$B$12,Paramètres!$A$1:$I$89,3,0)*0.475*44/12</f>
        <v>0.53328820720877823</v>
      </c>
      <c r="CM140" s="21">
        <f>EXP(-LN(2)/2)*CM139+(1-EXP(-LN(2)/2))/(LN(2)/2)*CG140*CJ140*VLOOKUP('Données projet'!$B$12,Paramètres!$A$1:$I$89,3,0)*0.475*44/12</f>
        <v>1.4907898736549592E-15</v>
      </c>
      <c r="CN140" s="22">
        <f t="shared" si="120"/>
        <v>1.1337403359672591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191.77102466144095</v>
      </c>
      <c r="T141" s="59">
        <f t="shared" si="142"/>
        <v>205.57161411620217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0.73174095005906503</v>
      </c>
      <c r="AA141" s="21">
        <f>EXP(-LN(2)/25)*AA140+(1-EXP(-LN(2)/25))/(LN(2)/25)*Calculateur!V141*Calculateur!X141*VLOOKUP('Données projet'!$B$9,Paramètres!$A$1:$I$89,3,0)*0.475*44/12</f>
        <v>0.61736864600914299</v>
      </c>
      <c r="AB141" s="21">
        <f>EXP(-LN(2)/2)*AB140+(1-EXP(-LN(2)/2))/(LN(2)/2)*V141*Y141*VLOOKUP('Données projet'!$B$9,Paramètres!$A$1:$I$89,3,0)*0.475*44/12</f>
        <v>3.0229665293613877E-16</v>
      </c>
      <c r="AC141" s="22">
        <f t="shared" si="111"/>
        <v>1.3491095960682082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-4.5474735088646412E-13</v>
      </c>
      <c r="AJ141" s="13">
        <f>AI141*VLOOKUP('Données projet'!$B$10,Paramètres!$A$1:$I$89,3,0)*VLOOKUP('Données projet'!$B$10,Paramètres!$A$1:$I$89,5,0)</f>
        <v>-2.7193891583010558E-13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247.30892363953825</v>
      </c>
      <c r="AO141" s="59">
        <f t="shared" si="144"/>
        <v>248.38414731596578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0.58867762875316088</v>
      </c>
      <c r="AV141" s="21">
        <f>EXP(-LN(2)/25)*AV140+(1-EXP(-LN(2)/25))/(LN(2)/25)*Calculateur!AQ141*Calculateur!AS141*VLOOKUP('Données projet'!$B$10,Paramètres!$A$1:$I$89,3,0)*0.475*44/12</f>
        <v>0.51870541313824625</v>
      </c>
      <c r="AW141" s="21">
        <f>EXP(-LN(2)/2)*AW140+(1-EXP(-LN(2)/2))/(LN(2)/2)*AQ141*AT141*VLOOKUP('Données projet'!$B$10,Paramètres!$A$1:$I$89,3,0)*0.475*44/12</f>
        <v>1.054147628985658E-15</v>
      </c>
      <c r="AX141" s="21">
        <f t="shared" si="114"/>
        <v>1.1073830418914083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-9.1631591203622526E-14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265.97106059040101</v>
      </c>
      <c r="BJ141" s="59">
        <f t="shared" si="146"/>
        <v>240.18718869578237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0.67882777769748626</v>
      </c>
      <c r="BQ141" s="21">
        <f>EXP(-LN(2)/25)*BQ140+(1-EXP(-LN(2)/25))/(LN(2)/25)*Calculateur!BL141*Calculateur!BN141*VLOOKUP('Données projet'!$B$11,Paramètres!$A$1:$I$89,3,0)*0.475*44/12</f>
        <v>0.57480325617274308</v>
      </c>
      <c r="BR141" s="21">
        <f>EXP(-LN(2)/2)*BR140+(1-EXP(-LN(2)/2))/(LN(2)/2)*BL141*BO141*VLOOKUP('Données projet'!$B$11,Paramètres!$A$1:$I$89,3,0)*0.475*44/12</f>
        <v>9.9290314544720529E-16</v>
      </c>
      <c r="BS141" s="22">
        <f t="shared" si="117"/>
        <v>1.2536310338702301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-4.5474735088646412E-13</v>
      </c>
      <c r="BZ141" s="13">
        <f>BY141*VLOOKUP('Données projet'!$B$12,Paramètres!$A$1:$I$89,3,0)*VLOOKUP('Données projet'!$B$12,Paramètres!$A$1:$I$89,5,0)</f>
        <v>-2.7193891583010558E-13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247.30892363953825</v>
      </c>
      <c r="CE141" s="59">
        <f t="shared" si="148"/>
        <v>248.38414731596578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0.58867762875316088</v>
      </c>
      <c r="CL141" s="21">
        <f>EXP(-LN(2)/25)*CL140+(1-EXP(-LN(2)/25))/(LN(2)/25)*Calculateur!CG141*Calculateur!CI141*VLOOKUP('Données projet'!$B$12,Paramètres!$A$1:$I$89,3,0)*0.475*44/12</f>
        <v>0.51870541313824625</v>
      </c>
      <c r="CM141" s="21">
        <f>EXP(-LN(2)/2)*CM140+(1-EXP(-LN(2)/2))/(LN(2)/2)*CG141*CJ141*VLOOKUP('Données projet'!$B$12,Paramètres!$A$1:$I$89,3,0)*0.475*44/12</f>
        <v>1.054147628985658E-15</v>
      </c>
      <c r="CN141" s="22">
        <f t="shared" si="120"/>
        <v>1.1073830418914083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191.77102466144095</v>
      </c>
      <c r="T142" s="59">
        <f t="shared" si="142"/>
        <v>205.57161411620217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0.71739195634631603</v>
      </c>
      <c r="AA142" s="21">
        <f>EXP(-LN(2)/25)*AA141+(1-EXP(-LN(2)/25))/(LN(2)/25)*Calculateur!V142*Calculateur!X142*VLOOKUP('Données projet'!$B$9,Paramètres!$A$1:$I$89,3,0)*0.475*44/12</f>
        <v>0.60048666791801686</v>
      </c>
      <c r="AB142" s="21">
        <f>EXP(-LN(2)/2)*AB141+(1-EXP(-LN(2)/2))/(LN(2)/2)*V142*Y142*VLOOKUP('Données projet'!$B$9,Paramètres!$A$1:$I$89,3,0)*0.475*44/12</f>
        <v>2.1375601322113998E-16</v>
      </c>
      <c r="AC142" s="22">
        <f t="shared" si="111"/>
        <v>1.3178786242643332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-4.5474735088646412E-13</v>
      </c>
      <c r="AJ142" s="13">
        <f>AI142*VLOOKUP('Données projet'!$B$10,Paramètres!$A$1:$I$89,3,0)*VLOOKUP('Données projet'!$B$10,Paramètres!$A$1:$I$89,5,0)</f>
        <v>-2.7193891583010558E-13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247.30892363953825</v>
      </c>
      <c r="AO142" s="59">
        <f t="shared" si="144"/>
        <v>248.38414731596578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0.57713401951121091</v>
      </c>
      <c r="AV142" s="21">
        <f>EXP(-LN(2)/25)*AV141+(1-EXP(-LN(2)/25))/(LN(2)/25)*Calculateur!AQ142*Calculateur!AS142*VLOOKUP('Données projet'!$B$10,Paramètres!$A$1:$I$89,3,0)*0.475*44/12</f>
        <v>0.50452138633844879</v>
      </c>
      <c r="AW142" s="21">
        <f>EXP(-LN(2)/2)*AW141+(1-EXP(-LN(2)/2))/(LN(2)/2)*AQ142*AT142*VLOOKUP('Données projet'!$B$10,Paramètres!$A$1:$I$89,3,0)*0.475*44/12</f>
        <v>7.4539493682747958E-16</v>
      </c>
      <c r="AX142" s="21">
        <f t="shared" si="114"/>
        <v>1.0816554058496604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-9.1631591203622526E-14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265.97106059040101</v>
      </c>
      <c r="BJ142" s="59">
        <f t="shared" si="146"/>
        <v>240.18718869578237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0.66551637902089944</v>
      </c>
      <c r="BQ142" s="21">
        <f>EXP(-LN(2)/25)*BQ141+(1-EXP(-LN(2)/25))/(LN(2)/25)*Calculateur!BL142*Calculateur!BN142*VLOOKUP('Données projet'!$B$11,Paramètres!$A$1:$I$89,3,0)*0.475*44/12</f>
        <v>0.55908523090510986</v>
      </c>
      <c r="BR142" s="21">
        <f>EXP(-LN(2)/2)*BR141+(1-EXP(-LN(2)/2))/(LN(2)/2)*BL142*BO142*VLOOKUP('Données projet'!$B$11,Paramètres!$A$1:$I$89,3,0)*0.475*44/12</f>
        <v>7.0208854720717178E-16</v>
      </c>
      <c r="BS142" s="22">
        <f t="shared" si="117"/>
        <v>1.22460160992601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-4.5474735088646412E-13</v>
      </c>
      <c r="BZ142" s="13">
        <f>BY142*VLOOKUP('Données projet'!$B$12,Paramètres!$A$1:$I$89,3,0)*VLOOKUP('Données projet'!$B$12,Paramètres!$A$1:$I$89,5,0)</f>
        <v>-2.7193891583010558E-13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247.30892363953825</v>
      </c>
      <c r="CE142" s="59">
        <f t="shared" si="148"/>
        <v>248.38414731596578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0.57713401951121091</v>
      </c>
      <c r="CL142" s="21">
        <f>EXP(-LN(2)/25)*CL141+(1-EXP(-LN(2)/25))/(LN(2)/25)*Calculateur!CG142*Calculateur!CI142*VLOOKUP('Données projet'!$B$12,Paramètres!$A$1:$I$89,3,0)*0.475*44/12</f>
        <v>0.50452138633844879</v>
      </c>
      <c r="CM142" s="21">
        <f>EXP(-LN(2)/2)*CM141+(1-EXP(-LN(2)/2))/(LN(2)/2)*CG142*CJ142*VLOOKUP('Données projet'!$B$12,Paramètres!$A$1:$I$89,3,0)*0.475*44/12</f>
        <v>7.4539493682747958E-16</v>
      </c>
      <c r="CN142" s="22">
        <f t="shared" si="120"/>
        <v>1.0816554058496604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191.77102466144095</v>
      </c>
      <c r="T143" s="59">
        <f t="shared" si="142"/>
        <v>205.57161411620217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0.70332433764825208</v>
      </c>
      <c r="AA143" s="21">
        <f>EXP(-LN(2)/25)*AA142+(1-EXP(-LN(2)/25))/(LN(2)/25)*Calculateur!V143*Calculateur!X143*VLOOKUP('Données projet'!$B$9,Paramètres!$A$1:$I$89,3,0)*0.475*44/12</f>
        <v>0.58406632840557726</v>
      </c>
      <c r="AB143" s="21">
        <f>EXP(-LN(2)/2)*AB142+(1-EXP(-LN(2)/2))/(LN(2)/2)*V143*Y143*VLOOKUP('Données projet'!$B$9,Paramètres!$A$1:$I$89,3,0)*0.475*44/12</f>
        <v>1.5114832646806939E-16</v>
      </c>
      <c r="AC143" s="22">
        <f t="shared" si="111"/>
        <v>1.2873906660538295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-4.5474735088646412E-13</v>
      </c>
      <c r="AJ143" s="13">
        <f>AI143*VLOOKUP('Données projet'!$B$10,Paramètres!$A$1:$I$89,3,0)*VLOOKUP('Données projet'!$B$10,Paramètres!$A$1:$I$89,5,0)</f>
        <v>-2.7193891583010558E-13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247.30892363953825</v>
      </c>
      <c r="AO143" s="59">
        <f t="shared" si="144"/>
        <v>248.38414731596578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0.56581677340558922</v>
      </c>
      <c r="AV143" s="21">
        <f>EXP(-LN(2)/25)*AV142+(1-EXP(-LN(2)/25))/(LN(2)/25)*Calculateur!AQ143*Calculateur!AS143*VLOOKUP('Données projet'!$B$10,Paramètres!$A$1:$I$89,3,0)*0.475*44/12</f>
        <v>0.49072522249739731</v>
      </c>
      <c r="AW143" s="21">
        <f>EXP(-LN(2)/2)*AW142+(1-EXP(-LN(2)/2))/(LN(2)/2)*AQ143*AT143*VLOOKUP('Données projet'!$B$10,Paramètres!$A$1:$I$89,3,0)*0.475*44/12</f>
        <v>5.27073814492829E-16</v>
      </c>
      <c r="AX143" s="21">
        <f t="shared" si="114"/>
        <v>1.0565419959029869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-9.1631591203622526E-14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265.97106059040101</v>
      </c>
      <c r="BJ143" s="59">
        <f t="shared" si="146"/>
        <v>240.18718869578237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0.65246600875320904</v>
      </c>
      <c r="BQ143" s="21">
        <f>EXP(-LN(2)/25)*BQ142+(1-EXP(-LN(2)/25))/(LN(2)/25)*Calculateur!BL143*Calculateur!BN143*VLOOKUP('Données projet'!$B$11,Paramètres!$A$1:$I$89,3,0)*0.475*44/12</f>
        <v>0.54379701586499518</v>
      </c>
      <c r="BR143" s="21">
        <f>EXP(-LN(2)/2)*BR142+(1-EXP(-LN(2)/2))/(LN(2)/2)*BL143*BO143*VLOOKUP('Données projet'!$B$11,Paramètres!$A$1:$I$89,3,0)*0.475*44/12</f>
        <v>4.9645157272360265E-16</v>
      </c>
      <c r="BS143" s="22">
        <f t="shared" si="117"/>
        <v>1.1962630246182047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-4.5474735088646412E-13</v>
      </c>
      <c r="BZ143" s="13">
        <f>BY143*VLOOKUP('Données projet'!$B$12,Paramètres!$A$1:$I$89,3,0)*VLOOKUP('Données projet'!$B$12,Paramètres!$A$1:$I$89,5,0)</f>
        <v>-2.7193891583010558E-13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247.30892363953825</v>
      </c>
      <c r="CE143" s="59">
        <f t="shared" si="148"/>
        <v>248.38414731596578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0.56581677340558922</v>
      </c>
      <c r="CL143" s="21">
        <f>EXP(-LN(2)/25)*CL142+(1-EXP(-LN(2)/25))/(LN(2)/25)*Calculateur!CG143*Calculateur!CI143*VLOOKUP('Données projet'!$B$12,Paramètres!$A$1:$I$89,3,0)*0.475*44/12</f>
        <v>0.49072522249739731</v>
      </c>
      <c r="CM143" s="21">
        <f>EXP(-LN(2)/2)*CM142+(1-EXP(-LN(2)/2))/(LN(2)/2)*CG143*CJ143*VLOOKUP('Données projet'!$B$12,Paramètres!$A$1:$I$89,3,0)*0.475*44/12</f>
        <v>5.27073814492829E-16</v>
      </c>
      <c r="CN143" s="22">
        <f t="shared" si="120"/>
        <v>1.0565419959029869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191.77102466144095</v>
      </c>
      <c r="T144" s="59">
        <f t="shared" si="142"/>
        <v>205.57161411620217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0.68953257637245702</v>
      </c>
      <c r="AA144" s="21">
        <f>EXP(-LN(2)/25)*AA143+(1-EXP(-LN(2)/25))/(LN(2)/25)*Calculateur!V144*Calculateur!X144*VLOOKUP('Données projet'!$B$9,Paramètres!$A$1:$I$89,3,0)*0.475*44/12</f>
        <v>0.56809500394061341</v>
      </c>
      <c r="AB144" s="21">
        <f>EXP(-LN(2)/2)*AB143+(1-EXP(-LN(2)/2))/(LN(2)/2)*V144*Y144*VLOOKUP('Données projet'!$B$9,Paramètres!$A$1:$I$89,3,0)*0.475*44/12</f>
        <v>1.0687800661056999E-16</v>
      </c>
      <c r="AC144" s="22">
        <f t="shared" si="111"/>
        <v>1.2576275803130703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-4.5474735088646412E-13</v>
      </c>
      <c r="AJ144" s="13">
        <f>AI144*VLOOKUP('Données projet'!$B$10,Paramètres!$A$1:$I$89,3,0)*VLOOKUP('Données projet'!$B$10,Paramètres!$A$1:$I$89,5,0)</f>
        <v>-2.7193891583010558E-13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247.30892363953825</v>
      </c>
      <c r="AO144" s="59">
        <f t="shared" si="144"/>
        <v>248.38414731596578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0.55472145159326025</v>
      </c>
      <c r="AV144" s="21">
        <f>EXP(-LN(2)/25)*AV143+(1-EXP(-LN(2)/25))/(LN(2)/25)*Calculateur!AQ144*Calculateur!AS144*VLOOKUP('Données projet'!$B$10,Paramètres!$A$1:$I$89,3,0)*0.475*44/12</f>
        <v>0.47730631548208807</v>
      </c>
      <c r="AW144" s="21">
        <f>EXP(-LN(2)/2)*AW143+(1-EXP(-LN(2)/2))/(LN(2)/2)*AQ144*AT144*VLOOKUP('Données projet'!$B$10,Paramètres!$A$1:$I$89,3,0)*0.475*44/12</f>
        <v>3.7269746841373979E-16</v>
      </c>
      <c r="AX144" s="21">
        <f t="shared" si="114"/>
        <v>1.0320277670753488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-9.1631591203622526E-14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265.97106059040101</v>
      </c>
      <c r="BJ144" s="59">
        <f t="shared" si="146"/>
        <v>240.18718869578237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0.63967154828652817</v>
      </c>
      <c r="BQ144" s="21">
        <f>EXP(-LN(2)/25)*BQ143+(1-EXP(-LN(2)/25))/(LN(2)/25)*Calculateur!BL144*Calculateur!BN144*VLOOKUP('Données projet'!$B$11,Paramètres!$A$1:$I$89,3,0)*0.475*44/12</f>
        <v>0.52892685786912463</v>
      </c>
      <c r="BR144" s="21">
        <f>EXP(-LN(2)/2)*BR143+(1-EXP(-LN(2)/2))/(LN(2)/2)*BL144*BO144*VLOOKUP('Données projet'!$B$11,Paramètres!$A$1:$I$89,3,0)*0.475*44/12</f>
        <v>3.5104427360358589E-16</v>
      </c>
      <c r="BS144" s="22">
        <f t="shared" si="117"/>
        <v>1.1685984061556534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-4.5474735088646412E-13</v>
      </c>
      <c r="BZ144" s="13">
        <f>BY144*VLOOKUP('Données projet'!$B$12,Paramètres!$A$1:$I$89,3,0)*VLOOKUP('Données projet'!$B$12,Paramètres!$A$1:$I$89,5,0)</f>
        <v>-2.7193891583010558E-13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247.30892363953825</v>
      </c>
      <c r="CE144" s="59">
        <f t="shared" si="148"/>
        <v>248.38414731596578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0.55472145159326025</v>
      </c>
      <c r="CL144" s="21">
        <f>EXP(-LN(2)/25)*CL143+(1-EXP(-LN(2)/25))/(LN(2)/25)*Calculateur!CG144*Calculateur!CI144*VLOOKUP('Données projet'!$B$12,Paramètres!$A$1:$I$89,3,0)*0.475*44/12</f>
        <v>0.47730631548208807</v>
      </c>
      <c r="CM144" s="21">
        <f>EXP(-LN(2)/2)*CM143+(1-EXP(-LN(2)/2))/(LN(2)/2)*CG144*CJ144*VLOOKUP('Données projet'!$B$12,Paramètres!$A$1:$I$89,3,0)*0.475*44/12</f>
        <v>3.7269746841373979E-16</v>
      </c>
      <c r="CN144" s="22">
        <f t="shared" si="120"/>
        <v>1.0320277670753488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191.77102466144095</v>
      </c>
      <c r="T145" s="59">
        <f t="shared" si="142"/>
        <v>205.57161411620217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0.67601126312313653</v>
      </c>
      <c r="AA145" s="21">
        <f>EXP(-LN(2)/25)*AA144+(1-EXP(-LN(2)/25))/(LN(2)/25)*Calculateur!V145*Calculateur!X145*VLOOKUP('Données projet'!$B$9,Paramètres!$A$1:$I$89,3,0)*0.475*44/12</f>
        <v>0.55256041618303953</v>
      </c>
      <c r="AB145" s="21">
        <f>EXP(-LN(2)/2)*AB144+(1-EXP(-LN(2)/2))/(LN(2)/2)*V145*Y145*VLOOKUP('Données projet'!$B$9,Paramètres!$A$1:$I$89,3,0)*0.475*44/12</f>
        <v>7.5574163234034693E-17</v>
      </c>
      <c r="AC145" s="22">
        <f t="shared" si="111"/>
        <v>1.2285716793061761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-4.5474735088646412E-13</v>
      </c>
      <c r="AJ145" s="13">
        <f>AI145*VLOOKUP('Données projet'!$B$10,Paramètres!$A$1:$I$89,3,0)*VLOOKUP('Données projet'!$B$10,Paramètres!$A$1:$I$89,5,0)</f>
        <v>-2.7193891583010558E-13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247.30892363953825</v>
      </c>
      <c r="AO145" s="59">
        <f t="shared" si="144"/>
        <v>248.38414731596578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0.54384370227419288</v>
      </c>
      <c r="AV145" s="21">
        <f>EXP(-LN(2)/25)*AV144+(1-EXP(-LN(2)/25))/(LN(2)/25)*Calculateur!AQ145*Calculateur!AS145*VLOOKUP('Données projet'!$B$10,Paramètres!$A$1:$I$89,3,0)*0.475*44/12</f>
        <v>0.46425434918478214</v>
      </c>
      <c r="AW145" s="21">
        <f>EXP(-LN(2)/2)*AW144+(1-EXP(-LN(2)/2))/(LN(2)/2)*AQ145*AT145*VLOOKUP('Données projet'!$B$10,Paramètres!$A$1:$I$89,3,0)*0.475*44/12</f>
        <v>2.635369072464145E-16</v>
      </c>
      <c r="AX145" s="21">
        <f t="shared" si="114"/>
        <v>1.0080980514589752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-9.1631591203622526E-14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265.97106059040101</v>
      </c>
      <c r="BJ145" s="59">
        <f t="shared" si="146"/>
        <v>240.18718869578237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0.6271279793857486</v>
      </c>
      <c r="BQ145" s="21">
        <f>EXP(-LN(2)/25)*BQ144+(1-EXP(-LN(2)/25))/(LN(2)/25)*Calculateur!BL145*Calculateur!BN145*VLOOKUP('Données projet'!$B$11,Paramètres!$A$1:$I$89,3,0)*0.475*44/12</f>
        <v>0.51446332512563886</v>
      </c>
      <c r="BR145" s="21">
        <f>EXP(-LN(2)/2)*BR144+(1-EXP(-LN(2)/2))/(LN(2)/2)*BL145*BO145*VLOOKUP('Données projet'!$B$11,Paramètres!$A$1:$I$89,3,0)*0.475*44/12</f>
        <v>2.4822578636180132E-16</v>
      </c>
      <c r="BS145" s="22">
        <f t="shared" si="117"/>
        <v>1.1415913045113877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-4.5474735088646412E-13</v>
      </c>
      <c r="BZ145" s="13">
        <f>BY145*VLOOKUP('Données projet'!$B$12,Paramètres!$A$1:$I$89,3,0)*VLOOKUP('Données projet'!$B$12,Paramètres!$A$1:$I$89,5,0)</f>
        <v>-2.7193891583010558E-13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247.30892363953825</v>
      </c>
      <c r="CE145" s="59">
        <f t="shared" si="148"/>
        <v>248.38414731596578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0.54384370227419288</v>
      </c>
      <c r="CL145" s="21">
        <f>EXP(-LN(2)/25)*CL144+(1-EXP(-LN(2)/25))/(LN(2)/25)*Calculateur!CG145*Calculateur!CI145*VLOOKUP('Données projet'!$B$12,Paramètres!$A$1:$I$89,3,0)*0.475*44/12</f>
        <v>0.46425434918478214</v>
      </c>
      <c r="CM145" s="21">
        <f>EXP(-LN(2)/2)*CM144+(1-EXP(-LN(2)/2))/(LN(2)/2)*CG145*CJ145*VLOOKUP('Données projet'!$B$12,Paramètres!$A$1:$I$89,3,0)*0.475*44/12</f>
        <v>2.635369072464145E-16</v>
      </c>
      <c r="CN145" s="22">
        <f t="shared" si="120"/>
        <v>1.0080980514589752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191.77102466144095</v>
      </c>
      <c r="T146" s="59">
        <f t="shared" si="142"/>
        <v>205.57161411620217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0.66275509457944848</v>
      </c>
      <c r="AA146" s="21">
        <f>EXP(-LN(2)/25)*AA145+(1-EXP(-LN(2)/25))/(LN(2)/25)*Calculateur!V146*Calculateur!X146*VLOOKUP('Données projet'!$B$9,Paramètres!$A$1:$I$89,3,0)*0.475*44/12</f>
        <v>0.53745062254462495</v>
      </c>
      <c r="AB146" s="21">
        <f>EXP(-LN(2)/2)*AB145+(1-EXP(-LN(2)/2))/(LN(2)/2)*V146*Y146*VLOOKUP('Données projet'!$B$9,Paramètres!$A$1:$I$89,3,0)*0.475*44/12</f>
        <v>5.3439003305284995E-17</v>
      </c>
      <c r="AC146" s="22">
        <f t="shared" si="111"/>
        <v>1.2002057171240734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-4.5474735088646412E-13</v>
      </c>
      <c r="AJ146" s="13">
        <f>AI146*VLOOKUP('Données projet'!$B$10,Paramètres!$A$1:$I$89,3,0)*VLOOKUP('Données projet'!$B$10,Paramètres!$A$1:$I$89,5,0)</f>
        <v>-2.7193891583010558E-13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247.30892363953825</v>
      </c>
      <c r="AO146" s="59">
        <f t="shared" si="144"/>
        <v>248.38414731596578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0.53317925898450047</v>
      </c>
      <c r="AV146" s="21">
        <f>EXP(-LN(2)/25)*AV145+(1-EXP(-LN(2)/25))/(LN(2)/25)*Calculateur!AQ146*Calculateur!AS146*VLOOKUP('Données projet'!$B$10,Paramètres!$A$1:$I$89,3,0)*0.475*44/12</f>
        <v>0.45155928959224911</v>
      </c>
      <c r="AW146" s="21">
        <f>EXP(-LN(2)/2)*AW145+(1-EXP(-LN(2)/2))/(LN(2)/2)*AQ146*AT146*VLOOKUP('Données projet'!$B$10,Paramètres!$A$1:$I$89,3,0)*0.475*44/12</f>
        <v>1.8634873420686989E-16</v>
      </c>
      <c r="AX146" s="21">
        <f t="shared" si="114"/>
        <v>0.98473854857674981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-9.1631591203622526E-14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265.97106059040101</v>
      </c>
      <c r="BJ146" s="59">
        <f t="shared" si="146"/>
        <v>240.18718869578237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0.61483038222029174</v>
      </c>
      <c r="BQ146" s="21">
        <f>EXP(-LN(2)/25)*BQ145+(1-EXP(-LN(2)/25))/(LN(2)/25)*Calculateur!BL146*Calculateur!BN146*VLOOKUP('Données projet'!$B$11,Paramètres!$A$1:$I$89,3,0)*0.475*44/12</f>
        <v>0.5003952984456278</v>
      </c>
      <c r="BR146" s="21">
        <f>EXP(-LN(2)/2)*BR145+(1-EXP(-LN(2)/2))/(LN(2)/2)*BL146*BO146*VLOOKUP('Données projet'!$B$11,Paramètres!$A$1:$I$89,3,0)*0.475*44/12</f>
        <v>1.7552213680179294E-16</v>
      </c>
      <c r="BS146" s="22">
        <f t="shared" si="117"/>
        <v>1.1152256806659198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-4.5474735088646412E-13</v>
      </c>
      <c r="BZ146" s="13">
        <f>BY146*VLOOKUP('Données projet'!$B$12,Paramètres!$A$1:$I$89,3,0)*VLOOKUP('Données projet'!$B$12,Paramètres!$A$1:$I$89,5,0)</f>
        <v>-2.7193891583010558E-13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247.30892363953825</v>
      </c>
      <c r="CE146" s="59">
        <f t="shared" si="148"/>
        <v>248.38414731596578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0.53317925898450047</v>
      </c>
      <c r="CL146" s="21">
        <f>EXP(-LN(2)/25)*CL145+(1-EXP(-LN(2)/25))/(LN(2)/25)*Calculateur!CG146*Calculateur!CI146*VLOOKUP('Données projet'!$B$12,Paramètres!$A$1:$I$89,3,0)*0.475*44/12</f>
        <v>0.45155928959224911</v>
      </c>
      <c r="CM146" s="21">
        <f>EXP(-LN(2)/2)*CM145+(1-EXP(-LN(2)/2))/(LN(2)/2)*CG146*CJ146*VLOOKUP('Données projet'!$B$12,Paramètres!$A$1:$I$89,3,0)*0.475*44/12</f>
        <v>1.8634873420686989E-16</v>
      </c>
      <c r="CN146" s="22">
        <f t="shared" si="120"/>
        <v>0.98473854857674981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191.77102466144095</v>
      </c>
      <c r="T147" s="59">
        <f t="shared" si="142"/>
        <v>205.57161411620217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0.64975887141543776</v>
      </c>
      <c r="AA147" s="21">
        <f>EXP(-LN(2)/25)*AA146+(1-EXP(-LN(2)/25))/(LN(2)/25)*Calculateur!V147*Calculateur!X147*VLOOKUP('Données projet'!$B$9,Paramètres!$A$1:$I$89,3,0)*0.475*44/12</f>
        <v>0.52275400700784225</v>
      </c>
      <c r="AB147" s="21">
        <f>EXP(-LN(2)/2)*AB146+(1-EXP(-LN(2)/2))/(LN(2)/2)*V147*Y147*VLOOKUP('Données projet'!$B$9,Paramètres!$A$1:$I$89,3,0)*0.475*44/12</f>
        <v>3.7787081617017347E-17</v>
      </c>
      <c r="AC147" s="22">
        <f t="shared" si="111"/>
        <v>1.1725128784232801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-4.5474735088646412E-13</v>
      </c>
      <c r="AJ147" s="13">
        <f>AI147*VLOOKUP('Données projet'!$B$10,Paramètres!$A$1:$I$89,3,0)*VLOOKUP('Données projet'!$B$10,Paramètres!$A$1:$I$89,5,0)</f>
        <v>-2.7193891583010558E-13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247.30892363953825</v>
      </c>
      <c r="AO147" s="59">
        <f t="shared" si="144"/>
        <v>248.38414731596578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0.5227239389230508</v>
      </c>
      <c r="AV147" s="21">
        <f>EXP(-LN(2)/25)*AV146+(1-EXP(-LN(2)/25))/(LN(2)/25)*Calculateur!AQ147*Calculateur!AS147*VLOOKUP('Données projet'!$B$10,Paramètres!$A$1:$I$89,3,0)*0.475*44/12</f>
        <v>0.43921137707187807</v>
      </c>
      <c r="AW147" s="21">
        <f>EXP(-LN(2)/2)*AW146+(1-EXP(-LN(2)/2))/(LN(2)/2)*AQ147*AT147*VLOOKUP('Données projet'!$B$10,Paramètres!$A$1:$I$89,3,0)*0.475*44/12</f>
        <v>1.3176845362320725E-16</v>
      </c>
      <c r="AX147" s="21">
        <f t="shared" si="114"/>
        <v>0.96193531599492899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-9.1631591203622526E-14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265.97106059040101</v>
      </c>
      <c r="BJ147" s="59">
        <f t="shared" si="146"/>
        <v>240.18718869578237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0.60277393343445584</v>
      </c>
      <c r="BQ147" s="21">
        <f>EXP(-LN(2)/25)*BQ146+(1-EXP(-LN(2)/25))/(LN(2)/25)*Calculateur!BL147*Calculateur!BN147*VLOOKUP('Données projet'!$B$11,Paramètres!$A$1:$I$89,3,0)*0.475*44/12</f>
        <v>0.48671196269498701</v>
      </c>
      <c r="BR147" s="21">
        <f>EXP(-LN(2)/2)*BR146+(1-EXP(-LN(2)/2))/(LN(2)/2)*BL147*BO147*VLOOKUP('Données projet'!$B$11,Paramètres!$A$1:$I$89,3,0)*0.475*44/12</f>
        <v>1.2411289318090066E-16</v>
      </c>
      <c r="BS147" s="22">
        <f t="shared" si="117"/>
        <v>1.0894858961294431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-4.5474735088646412E-13</v>
      </c>
      <c r="BZ147" s="13">
        <f>BY147*VLOOKUP('Données projet'!$B$12,Paramètres!$A$1:$I$89,3,0)*VLOOKUP('Données projet'!$B$12,Paramètres!$A$1:$I$89,5,0)</f>
        <v>-2.7193891583010558E-13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247.30892363953825</v>
      </c>
      <c r="CE147" s="59">
        <f t="shared" si="148"/>
        <v>248.38414731596578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0.5227239389230508</v>
      </c>
      <c r="CL147" s="21">
        <f>EXP(-LN(2)/25)*CL146+(1-EXP(-LN(2)/25))/(LN(2)/25)*Calculateur!CG147*Calculateur!CI147*VLOOKUP('Données projet'!$B$12,Paramètres!$A$1:$I$89,3,0)*0.475*44/12</f>
        <v>0.43921137707187807</v>
      </c>
      <c r="CM147" s="21">
        <f>EXP(-LN(2)/2)*CM146+(1-EXP(-LN(2)/2))/(LN(2)/2)*CG147*CJ147*VLOOKUP('Données projet'!$B$12,Paramètres!$A$1:$I$89,3,0)*0.475*44/12</f>
        <v>1.3176845362320725E-16</v>
      </c>
      <c r="CN147" s="22">
        <f t="shared" si="120"/>
        <v>0.96193531599492899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191.77102466144095</v>
      </c>
      <c r="T148" s="59">
        <f t="shared" si="142"/>
        <v>205.57161411620217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0.63701749626075987</v>
      </c>
      <c r="AA148" s="21">
        <f>EXP(-LN(2)/25)*AA147+(1-EXP(-LN(2)/25))/(LN(2)/25)*Calculateur!V148*Calculateur!X148*VLOOKUP('Données projet'!$B$9,Paramètres!$A$1:$I$89,3,0)*0.475*44/12</f>
        <v>0.50845927119577439</v>
      </c>
      <c r="AB148" s="21">
        <f>EXP(-LN(2)/2)*AB147+(1-EXP(-LN(2)/2))/(LN(2)/2)*V148*Y148*VLOOKUP('Données projet'!$B$9,Paramètres!$A$1:$I$89,3,0)*0.475*44/12</f>
        <v>2.6719501652642498E-17</v>
      </c>
      <c r="AC148" s="22">
        <f t="shared" si="111"/>
        <v>1.1454767674565343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-4.5474735088646412E-13</v>
      </c>
      <c r="AJ148" s="13">
        <f>AI148*VLOOKUP('Données projet'!$B$10,Paramètres!$A$1:$I$89,3,0)*VLOOKUP('Données projet'!$B$10,Paramètres!$A$1:$I$89,5,0)</f>
        <v>-2.7193891583010558E-13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247.30892363953825</v>
      </c>
      <c r="AO148" s="59">
        <f t="shared" si="144"/>
        <v>248.38414731596578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0.51247364131089068</v>
      </c>
      <c r="AV148" s="21">
        <f>EXP(-LN(2)/25)*AV147+(1-EXP(-LN(2)/25))/(LN(2)/25)*Calculateur!AQ148*Calculateur!AS148*VLOOKUP('Données projet'!$B$10,Paramètres!$A$1:$I$89,3,0)*0.475*44/12</f>
        <v>0.42720111886872508</v>
      </c>
      <c r="AW148" s="21">
        <f>EXP(-LN(2)/2)*AW147+(1-EXP(-LN(2)/2))/(LN(2)/2)*AQ148*AT148*VLOOKUP('Données projet'!$B$10,Paramètres!$A$1:$I$89,3,0)*0.475*44/12</f>
        <v>9.3174367103434947E-17</v>
      </c>
      <c r="AX148" s="21">
        <f t="shared" si="114"/>
        <v>0.93967476017961593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-9.1631591203622526E-14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265.97106059040101</v>
      </c>
      <c r="BJ148" s="59">
        <f t="shared" si="146"/>
        <v>240.18718869578237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0.59095390425560257</v>
      </c>
      <c r="BQ148" s="21">
        <f>EXP(-LN(2)/25)*BQ147+(1-EXP(-LN(2)/25))/(LN(2)/25)*Calculateur!BL148*Calculateur!BN148*VLOOKUP('Données projet'!$B$11,Paramètres!$A$1:$I$89,3,0)*0.475*44/12</f>
        <v>0.47340279848002287</v>
      </c>
      <c r="BR148" s="21">
        <f>EXP(-LN(2)/2)*BR147+(1-EXP(-LN(2)/2))/(LN(2)/2)*BL148*BO148*VLOOKUP('Données projet'!$B$11,Paramètres!$A$1:$I$89,3,0)*0.475*44/12</f>
        <v>8.7761068400896472E-17</v>
      </c>
      <c r="BS148" s="22">
        <f t="shared" si="117"/>
        <v>1.0643567027356253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-4.5474735088646412E-13</v>
      </c>
      <c r="BZ148" s="13">
        <f>BY148*VLOOKUP('Données projet'!$B$12,Paramètres!$A$1:$I$89,3,0)*VLOOKUP('Données projet'!$B$12,Paramètres!$A$1:$I$89,5,0)</f>
        <v>-2.7193891583010558E-13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247.30892363953825</v>
      </c>
      <c r="CE148" s="59">
        <f t="shared" si="148"/>
        <v>248.38414731596578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0.51247364131089068</v>
      </c>
      <c r="CL148" s="21">
        <f>EXP(-LN(2)/25)*CL147+(1-EXP(-LN(2)/25))/(LN(2)/25)*Calculateur!CG148*Calculateur!CI148*VLOOKUP('Données projet'!$B$12,Paramètres!$A$1:$I$89,3,0)*0.475*44/12</f>
        <v>0.42720111886872508</v>
      </c>
      <c r="CM148" s="21">
        <f>EXP(-LN(2)/2)*CM147+(1-EXP(-LN(2)/2))/(LN(2)/2)*CG148*CJ148*VLOOKUP('Données projet'!$B$12,Paramètres!$A$1:$I$89,3,0)*0.475*44/12</f>
        <v>9.3174367103434947E-17</v>
      </c>
      <c r="CN148" s="22">
        <f t="shared" si="120"/>
        <v>0.93967476017961593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191.77102466144095</v>
      </c>
      <c r="T149" s="59">
        <f t="shared" si="142"/>
        <v>205.57161411620217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0.62452597170139368</v>
      </c>
      <c r="AA149" s="21">
        <f>EXP(-LN(2)/25)*AA148+(1-EXP(-LN(2)/25))/(LN(2)/25)*Calculateur!V149*Calculateur!X149*VLOOKUP('Données projet'!$B$9,Paramètres!$A$1:$I$89,3,0)*0.475*44/12</f>
        <v>0.49455542568621497</v>
      </c>
      <c r="AB149" s="21">
        <f>EXP(-LN(2)/2)*AB148+(1-EXP(-LN(2)/2))/(LN(2)/2)*V149*Y149*VLOOKUP('Données projet'!$B$9,Paramètres!$A$1:$I$89,3,0)*0.475*44/12</f>
        <v>1.8893540808508673E-17</v>
      </c>
      <c r="AC149" s="22">
        <f t="shared" si="111"/>
        <v>1.1190813973876086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-4.5474735088646412E-13</v>
      </c>
      <c r="AJ149" s="13">
        <f>AI149*VLOOKUP('Données projet'!$B$10,Paramètres!$A$1:$I$89,3,0)*VLOOKUP('Données projet'!$B$10,Paramètres!$A$1:$I$89,5,0)</f>
        <v>-2.7193891583010558E-13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247.30892363953825</v>
      </c>
      <c r="AO149" s="59">
        <f t="shared" si="144"/>
        <v>248.38414731596578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0.50242434578284079</v>
      </c>
      <c r="AV149" s="21">
        <f>EXP(-LN(2)/25)*AV148+(1-EXP(-LN(2)/25))/(LN(2)/25)*Calculateur!AQ149*Calculateur!AS149*VLOOKUP('Données projet'!$B$10,Paramètres!$A$1:$I$89,3,0)*0.475*44/12</f>
        <v>0.41551928180772935</v>
      </c>
      <c r="AW149" s="21">
        <f>EXP(-LN(2)/2)*AW148+(1-EXP(-LN(2)/2))/(LN(2)/2)*AQ149*AT149*VLOOKUP('Données projet'!$B$10,Paramètres!$A$1:$I$89,3,0)*0.475*44/12</f>
        <v>6.5884226811603626E-17</v>
      </c>
      <c r="AX149" s="21">
        <f t="shared" si="114"/>
        <v>0.91794362759057024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-9.1631591203622526E-14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265.97106059040101</v>
      </c>
      <c r="BJ149" s="59">
        <f t="shared" si="146"/>
        <v>240.18718869578237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0.57936565863944067</v>
      </c>
      <c r="BQ149" s="21">
        <f>EXP(-LN(2)/25)*BQ148+(1-EXP(-LN(2)/25))/(LN(2)/25)*Calculateur!BL149*Calculateur!BN149*VLOOKUP('Données projet'!$B$11,Paramètres!$A$1:$I$89,3,0)*0.475*44/12</f>
        <v>0.46045757406041543</v>
      </c>
      <c r="BR149" s="21">
        <f>EXP(-LN(2)/2)*BR148+(1-EXP(-LN(2)/2))/(LN(2)/2)*BL149*BO149*VLOOKUP('Données projet'!$B$11,Paramètres!$A$1:$I$89,3,0)*0.475*44/12</f>
        <v>6.2056446590450331E-17</v>
      </c>
      <c r="BS149" s="22">
        <f t="shared" si="117"/>
        <v>1.039823232699856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-4.5474735088646412E-13</v>
      </c>
      <c r="BZ149" s="13">
        <f>BY149*VLOOKUP('Données projet'!$B$12,Paramètres!$A$1:$I$89,3,0)*VLOOKUP('Données projet'!$B$12,Paramètres!$A$1:$I$89,5,0)</f>
        <v>-2.7193891583010558E-13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247.30892363953825</v>
      </c>
      <c r="CE149" s="59">
        <f t="shared" si="148"/>
        <v>248.38414731596578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0.50242434578284079</v>
      </c>
      <c r="CL149" s="21">
        <f>EXP(-LN(2)/25)*CL148+(1-EXP(-LN(2)/25))/(LN(2)/25)*Calculateur!CG149*Calculateur!CI149*VLOOKUP('Données projet'!$B$12,Paramètres!$A$1:$I$89,3,0)*0.475*44/12</f>
        <v>0.41551928180772935</v>
      </c>
      <c r="CM149" s="21">
        <f>EXP(-LN(2)/2)*CM148+(1-EXP(-LN(2)/2))/(LN(2)/2)*CG149*CJ149*VLOOKUP('Données projet'!$B$12,Paramètres!$A$1:$I$89,3,0)*0.475*44/12</f>
        <v>6.5884226811603626E-17</v>
      </c>
      <c r="CN149" s="22">
        <f t="shared" si="120"/>
        <v>0.91794362759057024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191.77102466144095</v>
      </c>
      <c r="T150" s="59">
        <f t="shared" si="142"/>
        <v>205.57161411620217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0.61227939831955902</v>
      </c>
      <c r="AA150" s="21">
        <f>EXP(-LN(2)/25)*AA149+(1-EXP(-LN(2)/25))/(LN(2)/25)*Calculateur!V150*Calculateur!X150*VLOOKUP('Données projet'!$B$9,Paramètres!$A$1:$I$89,3,0)*0.475*44/12</f>
        <v>0.48103178156328591</v>
      </c>
      <c r="AB150" s="21">
        <f>EXP(-LN(2)/2)*AB149+(1-EXP(-LN(2)/2))/(LN(2)/2)*V150*Y150*VLOOKUP('Données projet'!$B$9,Paramètres!$A$1:$I$89,3,0)*0.475*44/12</f>
        <v>1.3359750826321249E-17</v>
      </c>
      <c r="AC150" s="22">
        <f t="shared" si="111"/>
        <v>1.093311179882845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-4.5474735088646412E-13</v>
      </c>
      <c r="AJ150" s="13">
        <f>AI150*VLOOKUP('Données projet'!$B$10,Paramètres!$A$1:$I$89,3,0)*VLOOKUP('Données projet'!$B$10,Paramètres!$A$1:$I$89,5,0)</f>
        <v>-2.7193891583010558E-13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247.30892363953825</v>
      </c>
      <c r="AO150" s="59">
        <f t="shared" si="144"/>
        <v>248.38414731596578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0.4925721108106309</v>
      </c>
      <c r="AV150" s="21">
        <f>EXP(-LN(2)/25)*AV149+(1-EXP(-LN(2)/25))/(LN(2)/25)*Calculateur!AQ150*Calculateur!AS150*VLOOKUP('Données projet'!$B$10,Paramètres!$A$1:$I$89,3,0)*0.475*44/12</f>
        <v>0.40415688519548765</v>
      </c>
      <c r="AW150" s="21">
        <f>EXP(-LN(2)/2)*AW149+(1-EXP(-LN(2)/2))/(LN(2)/2)*AQ150*AT150*VLOOKUP('Données projet'!$B$10,Paramètres!$A$1:$I$89,3,0)*0.475*44/12</f>
        <v>4.6587183551717474E-17</v>
      </c>
      <c r="AX150" s="21">
        <f t="shared" si="114"/>
        <v>0.89672899600611855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-9.1631591203622526E-14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265.97106059040101</v>
      </c>
      <c r="BJ150" s="59">
        <f t="shared" si="146"/>
        <v>240.18718869578237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0.56800465145167978</v>
      </c>
      <c r="BQ150" s="21">
        <f>EXP(-LN(2)/25)*BQ149+(1-EXP(-LN(2)/25))/(LN(2)/25)*Calculateur!BL150*Calculateur!BN150*VLOOKUP('Données projet'!$B$11,Paramètres!$A$1:$I$89,3,0)*0.475*44/12</f>
        <v>0.44786633748332194</v>
      </c>
      <c r="BR150" s="21">
        <f>EXP(-LN(2)/2)*BR149+(1-EXP(-LN(2)/2))/(LN(2)/2)*BL150*BO150*VLOOKUP('Données projet'!$B$11,Paramètres!$A$1:$I$89,3,0)*0.475*44/12</f>
        <v>4.3880534200448236E-17</v>
      </c>
      <c r="BS150" s="22">
        <f t="shared" si="117"/>
        <v>1.0158709889350017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-4.5474735088646412E-13</v>
      </c>
      <c r="BZ150" s="13">
        <f>BY150*VLOOKUP('Données projet'!$B$12,Paramètres!$A$1:$I$89,3,0)*VLOOKUP('Données projet'!$B$12,Paramètres!$A$1:$I$89,5,0)</f>
        <v>-2.7193891583010558E-13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247.30892363953825</v>
      </c>
      <c r="CE150" s="59">
        <f t="shared" si="148"/>
        <v>248.38414731596578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0.4925721108106309</v>
      </c>
      <c r="CL150" s="21">
        <f>EXP(-LN(2)/25)*CL149+(1-EXP(-LN(2)/25))/(LN(2)/25)*Calculateur!CG150*Calculateur!CI150*VLOOKUP('Données projet'!$B$12,Paramètres!$A$1:$I$89,3,0)*0.475*44/12</f>
        <v>0.40415688519548765</v>
      </c>
      <c r="CM150" s="21">
        <f>EXP(-LN(2)/2)*CM149+(1-EXP(-LN(2)/2))/(LN(2)/2)*CG150*CJ150*VLOOKUP('Données projet'!$B$12,Paramètres!$A$1:$I$89,3,0)*0.475*44/12</f>
        <v>4.6587183551717474E-17</v>
      </c>
      <c r="CN150" s="22">
        <f t="shared" si="120"/>
        <v>0.89672899600611855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191.77102466144095</v>
      </c>
      <c r="T151" s="59">
        <f t="shared" si="142"/>
        <v>205.57161411620217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0.60027297277206992</v>
      </c>
      <c r="AA151" s="21">
        <f>EXP(-LN(2)/25)*AA150+(1-EXP(-LN(2)/25))/(LN(2)/25)*Calculateur!V151*Calculateur!X151*VLOOKUP('Données projet'!$B$9,Paramètres!$A$1:$I$89,3,0)*0.475*44/12</f>
        <v>0.46787794220007589</v>
      </c>
      <c r="AB151" s="21">
        <f>EXP(-LN(2)/2)*AB150+(1-EXP(-LN(2)/2))/(LN(2)/2)*V151*Y151*VLOOKUP('Données projet'!$B$9,Paramètres!$A$1:$I$89,3,0)*0.475*44/12</f>
        <v>9.4467704042543367E-18</v>
      </c>
      <c r="AC151" s="22">
        <f t="shared" si="111"/>
        <v>1.0681509149721458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-4.5474735088646412E-13</v>
      </c>
      <c r="AJ151" s="13">
        <f>AI151*VLOOKUP('Données projet'!$B$10,Paramètres!$A$1:$I$89,3,0)*VLOOKUP('Données projet'!$B$10,Paramètres!$A$1:$I$89,5,0)</f>
        <v>-2.7193891583010558E-13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247.30892363953825</v>
      </c>
      <c r="AO151" s="59">
        <f t="shared" si="144"/>
        <v>248.38414731596578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0.48291307215695611</v>
      </c>
      <c r="AV151" s="21">
        <f>EXP(-LN(2)/25)*AV150+(1-EXP(-LN(2)/25))/(LN(2)/25)*Calculateur!AQ151*Calculateur!AS151*VLOOKUP('Données projet'!$B$10,Paramètres!$A$1:$I$89,3,0)*0.475*44/12</f>
        <v>0.39310519391613014</v>
      </c>
      <c r="AW151" s="21">
        <f>EXP(-LN(2)/2)*AW150+(1-EXP(-LN(2)/2))/(LN(2)/2)*AQ151*AT151*VLOOKUP('Données projet'!$B$10,Paramètres!$A$1:$I$89,3,0)*0.475*44/12</f>
        <v>3.2942113405801813E-17</v>
      </c>
      <c r="AX151" s="21">
        <f t="shared" si="114"/>
        <v>0.87601826607308619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-9.1631591203622526E-14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265.97106059040101</v>
      </c>
      <c r="BJ151" s="59">
        <f t="shared" si="146"/>
        <v>240.18718869578237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0.55686642668534081</v>
      </c>
      <c r="BQ151" s="21">
        <f>EXP(-LN(2)/25)*BQ150+(1-EXP(-LN(2)/25))/(LN(2)/25)*Calculateur!BL151*Calculateur!BN151*VLOOKUP('Données projet'!$B$11,Paramètres!$A$1:$I$89,3,0)*0.475*44/12</f>
        <v>0.43561940893257345</v>
      </c>
      <c r="BR151" s="21">
        <f>EXP(-LN(2)/2)*BR150+(1-EXP(-LN(2)/2))/(LN(2)/2)*BL151*BO151*VLOOKUP('Données projet'!$B$11,Paramètres!$A$1:$I$89,3,0)*0.475*44/12</f>
        <v>3.1028223295225165E-17</v>
      </c>
      <c r="BS151" s="22">
        <f t="shared" si="117"/>
        <v>0.99248583561791426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-4.5474735088646412E-13</v>
      </c>
      <c r="BZ151" s="13">
        <f>BY151*VLOOKUP('Données projet'!$B$12,Paramètres!$A$1:$I$89,3,0)*VLOOKUP('Données projet'!$B$12,Paramètres!$A$1:$I$89,5,0)</f>
        <v>-2.7193891583010558E-13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247.30892363953825</v>
      </c>
      <c r="CE151" s="59">
        <f t="shared" si="148"/>
        <v>248.38414731596578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0.48291307215695611</v>
      </c>
      <c r="CL151" s="21">
        <f>EXP(-LN(2)/25)*CL150+(1-EXP(-LN(2)/25))/(LN(2)/25)*Calculateur!CG151*Calculateur!CI151*VLOOKUP('Données projet'!$B$12,Paramètres!$A$1:$I$89,3,0)*0.475*44/12</f>
        <v>0.39310519391613014</v>
      </c>
      <c r="CM151" s="21">
        <f>EXP(-LN(2)/2)*CM150+(1-EXP(-LN(2)/2))/(LN(2)/2)*CG151*CJ151*VLOOKUP('Données projet'!$B$12,Paramètres!$A$1:$I$89,3,0)*0.475*44/12</f>
        <v>3.2942113405801813E-17</v>
      </c>
      <c r="CN151" s="22">
        <f t="shared" si="120"/>
        <v>0.87601826607308619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191.77102466144095</v>
      </c>
      <c r="T152" s="59">
        <f t="shared" si="142"/>
        <v>205.57161411620217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0.58850198590637071</v>
      </c>
      <c r="AA152" s="21">
        <f>EXP(-LN(2)/25)*AA151+(1-EXP(-LN(2)/25))/(LN(2)/25)*Calculateur!V152*Calculateur!X152*VLOOKUP('Données projet'!$B$9,Paramètres!$A$1:$I$89,3,0)*0.475*44/12</f>
        <v>0.45508379526598319</v>
      </c>
      <c r="AB152" s="21">
        <f>EXP(-LN(2)/2)*AB151+(1-EXP(-LN(2)/2))/(LN(2)/2)*V152*Y152*VLOOKUP('Données projet'!$B$9,Paramètres!$A$1:$I$89,3,0)*0.475*44/12</f>
        <v>6.6798754131606244E-18</v>
      </c>
      <c r="AC152" s="22">
        <f t="shared" si="111"/>
        <v>1.0435857811723539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-4.5474735088646412E-13</v>
      </c>
      <c r="AJ152" s="13">
        <f>AI152*VLOOKUP('Données projet'!$B$10,Paramètres!$A$1:$I$89,3,0)*VLOOKUP('Données projet'!$B$10,Paramètres!$A$1:$I$89,5,0)</f>
        <v>-2.7193891583010558E-13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247.30892363953825</v>
      </c>
      <c r="AO152" s="59">
        <f t="shared" si="144"/>
        <v>248.38414731596578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0.47344344135984801</v>
      </c>
      <c r="AV152" s="21">
        <f>EXP(-LN(2)/25)*AV151+(1-EXP(-LN(2)/25))/(LN(2)/25)*Calculateur!AQ152*Calculateur!AS152*VLOOKUP('Données projet'!$B$10,Paramètres!$A$1:$I$89,3,0)*0.475*44/12</f>
        <v>0.38235571171598987</v>
      </c>
      <c r="AW152" s="21">
        <f>EXP(-LN(2)/2)*AW151+(1-EXP(-LN(2)/2))/(LN(2)/2)*AQ152*AT152*VLOOKUP('Données projet'!$B$10,Paramètres!$A$1:$I$89,3,0)*0.475*44/12</f>
        <v>2.3293591775858737E-17</v>
      </c>
      <c r="AX152" s="21">
        <f t="shared" si="114"/>
        <v>0.85579915307583787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-9.1631591203622526E-14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265.97106059040101</v>
      </c>
      <c r="BJ152" s="59">
        <f t="shared" si="146"/>
        <v>240.18718869578237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0.54594661571302339</v>
      </c>
      <c r="BQ152" s="21">
        <f>EXP(-LN(2)/25)*BQ151+(1-EXP(-LN(2)/25))/(LN(2)/25)*Calculateur!BL152*Calculateur!BN152*VLOOKUP('Données projet'!$B$11,Paramètres!$A$1:$I$89,3,0)*0.475*44/12</f>
        <v>0.42370737328708313</v>
      </c>
      <c r="BR152" s="21">
        <f>EXP(-LN(2)/2)*BR151+(1-EXP(-LN(2)/2))/(LN(2)/2)*BL152*BO152*VLOOKUP('Données projet'!$B$11,Paramètres!$A$1:$I$89,3,0)*0.475*44/12</f>
        <v>2.1940267100224118E-17</v>
      </c>
      <c r="BS152" s="22">
        <f t="shared" si="117"/>
        <v>0.96965398900010658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-4.5474735088646412E-13</v>
      </c>
      <c r="BZ152" s="13">
        <f>BY152*VLOOKUP('Données projet'!$B$12,Paramètres!$A$1:$I$89,3,0)*VLOOKUP('Données projet'!$B$12,Paramètres!$A$1:$I$89,5,0)</f>
        <v>-2.7193891583010558E-13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247.30892363953825</v>
      </c>
      <c r="CE152" s="59">
        <f t="shared" si="148"/>
        <v>248.38414731596578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0.47344344135984801</v>
      </c>
      <c r="CL152" s="21">
        <f>EXP(-LN(2)/25)*CL151+(1-EXP(-LN(2)/25))/(LN(2)/25)*Calculateur!CG152*Calculateur!CI152*VLOOKUP('Données projet'!$B$12,Paramètres!$A$1:$I$89,3,0)*0.475*44/12</f>
        <v>0.38235571171598987</v>
      </c>
      <c r="CM152" s="21">
        <f>EXP(-LN(2)/2)*CM151+(1-EXP(-LN(2)/2))/(LN(2)/2)*CG152*CJ152*VLOOKUP('Données projet'!$B$12,Paramètres!$A$1:$I$89,3,0)*0.475*44/12</f>
        <v>2.3293591775858737E-17</v>
      </c>
      <c r="CN152" s="22">
        <f t="shared" si="120"/>
        <v>0.85579915307583787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191.77102466144095</v>
      </c>
      <c r="T153" s="59">
        <f t="shared" si="142"/>
        <v>205.57161411620217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0.57696182091351478</v>
      </c>
      <c r="AA153" s="21">
        <f>EXP(-LN(2)/25)*AA152+(1-EXP(-LN(2)/25))/(LN(2)/25)*Calculateur!V153*Calculateur!X153*VLOOKUP('Données projet'!$B$9,Paramètres!$A$1:$I$89,3,0)*0.475*44/12</f>
        <v>0.44263950495261822</v>
      </c>
      <c r="AB153" s="21">
        <f>EXP(-LN(2)/2)*AB152+(1-EXP(-LN(2)/2))/(LN(2)/2)*V153*Y153*VLOOKUP('Données projet'!$B$9,Paramètres!$A$1:$I$89,3,0)*0.475*44/12</f>
        <v>4.7233852021271683E-18</v>
      </c>
      <c r="AC153" s="22">
        <f t="shared" si="111"/>
        <v>1.0196013258661329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-4.5474735088646412E-13</v>
      </c>
      <c r="AJ153" s="13">
        <f>AI153*VLOOKUP('Données projet'!$B$10,Paramètres!$A$1:$I$89,3,0)*VLOOKUP('Données projet'!$B$10,Paramètres!$A$1:$I$89,5,0)</f>
        <v>-2.7193891583010558E-13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247.30892363953825</v>
      </c>
      <c r="AO153" s="59">
        <f t="shared" si="144"/>
        <v>248.38414731596578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0.46415950424676677</v>
      </c>
      <c r="AV153" s="21">
        <f>EXP(-LN(2)/25)*AV152+(1-EXP(-LN(2)/25))/(LN(2)/25)*Calculateur!AQ153*Calculateur!AS153*VLOOKUP('Données projet'!$B$10,Paramètres!$A$1:$I$89,3,0)*0.475*44/12</f>
        <v>0.37190017467190312</v>
      </c>
      <c r="AW153" s="21">
        <f>EXP(-LN(2)/2)*AW152+(1-EXP(-LN(2)/2))/(LN(2)/2)*AQ153*AT153*VLOOKUP('Données projet'!$B$10,Paramètres!$A$1:$I$89,3,0)*0.475*44/12</f>
        <v>1.6471056702900906E-17</v>
      </c>
      <c r="AX153" s="21">
        <f t="shared" si="114"/>
        <v>0.83605967891866984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-9.1631591203622526E-14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265.97106059040101</v>
      </c>
      <c r="BJ153" s="59">
        <f t="shared" si="146"/>
        <v>240.18718869578237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0.5352409355734461</v>
      </c>
      <c r="BQ153" s="21">
        <f>EXP(-LN(2)/25)*BQ152+(1-EXP(-LN(2)/25))/(LN(2)/25)*Calculateur!BL153*Calculateur!BN153*VLOOKUP('Données projet'!$B$11,Paramètres!$A$1:$I$89,3,0)*0.475*44/12</f>
        <v>0.41212107288274547</v>
      </c>
      <c r="BR153" s="21">
        <f>EXP(-LN(2)/2)*BR152+(1-EXP(-LN(2)/2))/(LN(2)/2)*BL153*BO153*VLOOKUP('Données projet'!$B$11,Paramètres!$A$1:$I$89,3,0)*0.475*44/12</f>
        <v>1.5514111647612583E-17</v>
      </c>
      <c r="BS153" s="22">
        <f t="shared" si="117"/>
        <v>0.94736200845619156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-4.5474735088646412E-13</v>
      </c>
      <c r="BZ153" s="13">
        <f>BY153*VLOOKUP('Données projet'!$B$12,Paramètres!$A$1:$I$89,3,0)*VLOOKUP('Données projet'!$B$12,Paramètres!$A$1:$I$89,5,0)</f>
        <v>-2.7193891583010558E-13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247.30892363953825</v>
      </c>
      <c r="CE153" s="59">
        <f t="shared" si="148"/>
        <v>248.38414731596578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0.46415950424676677</v>
      </c>
      <c r="CL153" s="21">
        <f>EXP(-LN(2)/25)*CL152+(1-EXP(-LN(2)/25))/(LN(2)/25)*Calculateur!CG153*Calculateur!CI153*VLOOKUP('Données projet'!$B$12,Paramètres!$A$1:$I$89,3,0)*0.475*44/12</f>
        <v>0.37190017467190312</v>
      </c>
      <c r="CM153" s="21">
        <f>EXP(-LN(2)/2)*CM152+(1-EXP(-LN(2)/2))/(LN(2)/2)*CG153*CJ153*VLOOKUP('Données projet'!$B$12,Paramètres!$A$1:$I$89,3,0)*0.475*44/12</f>
        <v>1.6471056702900906E-17</v>
      </c>
      <c r="CN153" s="22">
        <f t="shared" si="120"/>
        <v>0.83605967891866984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191.77102466144095</v>
      </c>
      <c r="T154" s="59">
        <f t="shared" si="142"/>
        <v>205.57161411620217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0.56564795151736313</v>
      </c>
      <c r="AA154" s="21">
        <f>EXP(-LN(2)/25)*AA153+(1-EXP(-LN(2)/25))/(LN(2)/25)*Calculateur!V154*Calculateur!X154*VLOOKUP('Données projet'!$B$9,Paramètres!$A$1:$I$89,3,0)*0.475*44/12</f>
        <v>0.43053550441228899</v>
      </c>
      <c r="AB154" s="21">
        <f>EXP(-LN(2)/2)*AB153+(1-EXP(-LN(2)/2))/(LN(2)/2)*V154*Y154*VLOOKUP('Données projet'!$B$9,Paramètres!$A$1:$I$89,3,0)*0.475*44/12</f>
        <v>3.3399377065803122E-18</v>
      </c>
      <c r="AC154" s="22">
        <f t="shared" ref="AC154:AC203" si="163">SUM(Z154:AB154)</f>
        <v>0.99618345592965207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-4.5474735088646412E-13</v>
      </c>
      <c r="AJ154" s="13">
        <f>AI154*VLOOKUP('Données projet'!$B$10,Paramètres!$A$1:$I$89,3,0)*VLOOKUP('Données projet'!$B$10,Paramètres!$A$1:$I$89,5,0)</f>
        <v>-2.7193891583010558E-13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247.30892363953825</v>
      </c>
      <c r="AO154" s="59">
        <f t="shared" si="144"/>
        <v>248.38414731596578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0.45505761947783052</v>
      </c>
      <c r="AV154" s="21">
        <f>EXP(-LN(2)/25)*AV153+(1-EXP(-LN(2)/25))/(LN(2)/25)*Calculateur!AQ154*Calculateur!AS154*VLOOKUP('Données projet'!$B$10,Paramètres!$A$1:$I$89,3,0)*0.475*44/12</f>
        <v>0.36173054483811973</v>
      </c>
      <c r="AW154" s="21">
        <f>EXP(-LN(2)/2)*AW153+(1-EXP(-LN(2)/2))/(LN(2)/2)*AQ154*AT154*VLOOKUP('Données projet'!$B$10,Paramètres!$A$1:$I$89,3,0)*0.475*44/12</f>
        <v>1.1646795887929368E-17</v>
      </c>
      <c r="AX154" s="21">
        <f t="shared" ref="AX154:AX203" si="166">SUM(AU154:AW154)</f>
        <v>0.81678816431595025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-9.1631591203622526E-14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265.97106059040101</v>
      </c>
      <c r="BJ154" s="59">
        <f t="shared" si="146"/>
        <v>240.18718869578237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0.52474518729158581</v>
      </c>
      <c r="BQ154" s="21">
        <f>EXP(-LN(2)/25)*BQ153+(1-EXP(-LN(2)/25))/(LN(2)/25)*Calculateur!BL154*Calculateur!BN154*VLOOKUP('Données projet'!$B$11,Paramètres!$A$1:$I$89,3,0)*0.475*44/12</f>
        <v>0.40085160047226148</v>
      </c>
      <c r="BR154" s="21">
        <f>EXP(-LN(2)/2)*BR153+(1-EXP(-LN(2)/2))/(LN(2)/2)*BL154*BO154*VLOOKUP('Données projet'!$B$11,Paramètres!$A$1:$I$89,3,0)*0.475*44/12</f>
        <v>1.0970133550112059E-17</v>
      </c>
      <c r="BS154" s="22">
        <f t="shared" ref="BS154:BS203" si="169">SUM(BP154:BR154)</f>
        <v>0.92559678776384735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-4.5474735088646412E-13</v>
      </c>
      <c r="BZ154" s="13">
        <f>BY154*VLOOKUP('Données projet'!$B$12,Paramètres!$A$1:$I$89,3,0)*VLOOKUP('Données projet'!$B$12,Paramètres!$A$1:$I$89,5,0)</f>
        <v>-2.7193891583010558E-13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247.30892363953825</v>
      </c>
      <c r="CE154" s="59">
        <f t="shared" si="148"/>
        <v>248.38414731596578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0.45505761947783052</v>
      </c>
      <c r="CL154" s="21">
        <f>EXP(-LN(2)/25)*CL153+(1-EXP(-LN(2)/25))/(LN(2)/25)*Calculateur!CG154*Calculateur!CI154*VLOOKUP('Données projet'!$B$12,Paramètres!$A$1:$I$89,3,0)*0.475*44/12</f>
        <v>0.36173054483811973</v>
      </c>
      <c r="CM154" s="21">
        <f>EXP(-LN(2)/2)*CM153+(1-EXP(-LN(2)/2))/(LN(2)/2)*CG154*CJ154*VLOOKUP('Données projet'!$B$12,Paramètres!$A$1:$I$89,3,0)*0.475*44/12</f>
        <v>1.1646795887929368E-17</v>
      </c>
      <c r="CN154" s="22">
        <f t="shared" ref="CN154:CN203" si="172">SUM(CK154:CM154)</f>
        <v>0.81678816431595025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191.77102466144095</v>
      </c>
      <c r="T155" s="59">
        <f t="shared" si="142"/>
        <v>205.57161411620217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0.554555940199291</v>
      </c>
      <c r="AA155" s="21">
        <f>EXP(-LN(2)/25)*AA154+(1-EXP(-LN(2)/25))/(LN(2)/25)*Calculateur!V155*Calculateur!X155*VLOOKUP('Données projet'!$B$9,Paramètres!$A$1:$I$89,3,0)*0.475*44/12</f>
        <v>0.41876248840325675</v>
      </c>
      <c r="AB155" s="21">
        <f>EXP(-LN(2)/2)*AB154+(1-EXP(-LN(2)/2))/(LN(2)/2)*V155*Y155*VLOOKUP('Données projet'!$B$9,Paramètres!$A$1:$I$89,3,0)*0.475*44/12</f>
        <v>2.3616926010635842E-18</v>
      </c>
      <c r="AC155" s="22">
        <f t="shared" si="163"/>
        <v>0.9733184286025478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-4.5474735088646412E-13</v>
      </c>
      <c r="AJ155" s="13">
        <f>AI155*VLOOKUP('Données projet'!$B$10,Paramètres!$A$1:$I$89,3,0)*VLOOKUP('Données projet'!$B$10,Paramètres!$A$1:$I$89,5,0)</f>
        <v>-2.7193891583010558E-13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247.30892363953825</v>
      </c>
      <c r="AO155" s="59">
        <f t="shared" si="144"/>
        <v>248.38414731596578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0.44613421711761159</v>
      </c>
      <c r="AV155" s="21">
        <f>EXP(-LN(2)/25)*AV154+(1-EXP(-LN(2)/25))/(LN(2)/25)*Calculateur!AQ155*Calculateur!AS155*VLOOKUP('Données projet'!$B$10,Paramètres!$A$1:$I$89,3,0)*0.475*44/12</f>
        <v>0.35183900406693874</v>
      </c>
      <c r="AW155" s="21">
        <f>EXP(-LN(2)/2)*AW154+(1-EXP(-LN(2)/2))/(LN(2)/2)*AQ155*AT155*VLOOKUP('Données projet'!$B$10,Paramètres!$A$1:$I$89,3,0)*0.475*44/12</f>
        <v>8.2355283514504532E-18</v>
      </c>
      <c r="AX155" s="21">
        <f t="shared" si="166"/>
        <v>0.79797322118455027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-9.1631591203622526E-14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265.97106059040101</v>
      </c>
      <c r="BJ155" s="59">
        <f t="shared" si="146"/>
        <v>240.18718869578237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0.51445525423175842</v>
      </c>
      <c r="BQ155" s="21">
        <f>EXP(-LN(2)/25)*BQ154+(1-EXP(-LN(2)/25))/(LN(2)/25)*Calculateur!BL155*Calculateur!BN155*VLOOKUP('Données projet'!$B$11,Paramètres!$A$1:$I$89,3,0)*0.475*44/12</f>
        <v>0.38989029237747796</v>
      </c>
      <c r="BR155" s="21">
        <f>EXP(-LN(2)/2)*BR154+(1-EXP(-LN(2)/2))/(LN(2)/2)*BL155*BO155*VLOOKUP('Données projet'!$B$11,Paramètres!$A$1:$I$89,3,0)*0.475*44/12</f>
        <v>7.7570558238062914E-18</v>
      </c>
      <c r="BS155" s="22">
        <f t="shared" si="169"/>
        <v>0.90434554660923638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-4.5474735088646412E-13</v>
      </c>
      <c r="BZ155" s="13">
        <f>BY155*VLOOKUP('Données projet'!$B$12,Paramètres!$A$1:$I$89,3,0)*VLOOKUP('Données projet'!$B$12,Paramètres!$A$1:$I$89,5,0)</f>
        <v>-2.7193891583010558E-13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247.30892363953825</v>
      </c>
      <c r="CE155" s="59">
        <f t="shared" si="148"/>
        <v>248.38414731596578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0.44613421711761159</v>
      </c>
      <c r="CL155" s="21">
        <f>EXP(-LN(2)/25)*CL154+(1-EXP(-LN(2)/25))/(LN(2)/25)*Calculateur!CG155*Calculateur!CI155*VLOOKUP('Données projet'!$B$12,Paramètres!$A$1:$I$89,3,0)*0.475*44/12</f>
        <v>0.35183900406693874</v>
      </c>
      <c r="CM155" s="21">
        <f>EXP(-LN(2)/2)*CM154+(1-EXP(-LN(2)/2))/(LN(2)/2)*CG155*CJ155*VLOOKUP('Données projet'!$B$12,Paramètres!$A$1:$I$89,3,0)*0.475*44/12</f>
        <v>8.2355283514504532E-18</v>
      </c>
      <c r="CN155" s="22">
        <f t="shared" si="172"/>
        <v>0.79797322118455027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191.77102466144095</v>
      </c>
      <c r="T156" s="59">
        <f t="shared" si="142"/>
        <v>205.57161411620217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0.54368143645770739</v>
      </c>
      <c r="AA156" s="21">
        <f>EXP(-LN(2)/25)*AA155+(1-EXP(-LN(2)/25))/(LN(2)/25)*Calculateur!V156*Calculateur!X156*VLOOKUP('Données projet'!$B$9,Paramètres!$A$1:$I$89,3,0)*0.475*44/12</f>
        <v>0.4073114061361075</v>
      </c>
      <c r="AB156" s="21">
        <f>EXP(-LN(2)/2)*AB155+(1-EXP(-LN(2)/2))/(LN(2)/2)*V156*Y156*VLOOKUP('Données projet'!$B$9,Paramètres!$A$1:$I$89,3,0)*0.475*44/12</f>
        <v>1.6699688532901561E-18</v>
      </c>
      <c r="AC156" s="22">
        <f t="shared" si="163"/>
        <v>0.95099284259381489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-4.5474735088646412E-13</v>
      </c>
      <c r="AJ156" s="13">
        <f>AI156*VLOOKUP('Données projet'!$B$10,Paramètres!$A$1:$I$89,3,0)*VLOOKUP('Données projet'!$B$10,Paramètres!$A$1:$I$89,5,0)</f>
        <v>-2.7193891583010558E-13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247.30892363953825</v>
      </c>
      <c r="AO156" s="59">
        <f t="shared" si="144"/>
        <v>248.38414731596578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0.43738579723493853</v>
      </c>
      <c r="AV156" s="21">
        <f>EXP(-LN(2)/25)*AV155+(1-EXP(-LN(2)/25))/(LN(2)/25)*Calculateur!AQ156*Calculateur!AS156*VLOOKUP('Données projet'!$B$10,Paramètres!$A$1:$I$89,3,0)*0.475*44/12</f>
        <v>0.34221794799831923</v>
      </c>
      <c r="AW156" s="21">
        <f>EXP(-LN(2)/2)*AW155+(1-EXP(-LN(2)/2))/(LN(2)/2)*AQ156*AT156*VLOOKUP('Données projet'!$B$10,Paramètres!$A$1:$I$89,3,0)*0.475*44/12</f>
        <v>5.8233979439646842E-18</v>
      </c>
      <c r="AX156" s="21">
        <f t="shared" si="166"/>
        <v>0.77960374523325782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-9.1631591203622526E-14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265.97106059040101</v>
      </c>
      <c r="BJ156" s="59">
        <f t="shared" si="146"/>
        <v>240.18718869578237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0.50436710048299482</v>
      </c>
      <c r="BQ156" s="21">
        <f>EXP(-LN(2)/25)*BQ155+(1-EXP(-LN(2)/25))/(LN(2)/25)*Calculateur!BL156*Calculateur!BN156*VLOOKUP('Données projet'!$B$11,Paramètres!$A$1:$I$89,3,0)*0.475*44/12</f>
        <v>0.37922872182897643</v>
      </c>
      <c r="BR156" s="21">
        <f>EXP(-LN(2)/2)*BR155+(1-EXP(-LN(2)/2))/(LN(2)/2)*BL156*BO156*VLOOKUP('Données projet'!$B$11,Paramètres!$A$1:$I$89,3,0)*0.475*44/12</f>
        <v>5.4850667750560295E-18</v>
      </c>
      <c r="BS156" s="22">
        <f t="shared" si="169"/>
        <v>0.88359582231197131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-4.5474735088646412E-13</v>
      </c>
      <c r="BZ156" s="13">
        <f>BY156*VLOOKUP('Données projet'!$B$12,Paramètres!$A$1:$I$89,3,0)*VLOOKUP('Données projet'!$B$12,Paramètres!$A$1:$I$89,5,0)</f>
        <v>-2.7193891583010558E-13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247.30892363953825</v>
      </c>
      <c r="CE156" s="59">
        <f t="shared" si="148"/>
        <v>248.38414731596578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0.43738579723493853</v>
      </c>
      <c r="CL156" s="21">
        <f>EXP(-LN(2)/25)*CL155+(1-EXP(-LN(2)/25))/(LN(2)/25)*Calculateur!CG156*Calculateur!CI156*VLOOKUP('Données projet'!$B$12,Paramètres!$A$1:$I$89,3,0)*0.475*44/12</f>
        <v>0.34221794799831923</v>
      </c>
      <c r="CM156" s="21">
        <f>EXP(-LN(2)/2)*CM155+(1-EXP(-LN(2)/2))/(LN(2)/2)*CG156*CJ156*VLOOKUP('Données projet'!$B$12,Paramètres!$A$1:$I$89,3,0)*0.475*44/12</f>
        <v>5.8233979439646842E-18</v>
      </c>
      <c r="CN156" s="22">
        <f t="shared" si="172"/>
        <v>0.77960374523325782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191.77102466144095</v>
      </c>
      <c r="T157" s="59">
        <f t="shared" si="142"/>
        <v>205.57161411620217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0.53302017510170396</v>
      </c>
      <c r="AA157" s="21">
        <f>EXP(-LN(2)/25)*AA156+(1-EXP(-LN(2)/25))/(LN(2)/25)*Calculateur!V157*Calculateur!X157*VLOOKUP('Données projet'!$B$9,Paramètres!$A$1:$I$89,3,0)*0.475*44/12</f>
        <v>0.39617345431573969</v>
      </c>
      <c r="AB157" s="21">
        <f>EXP(-LN(2)/2)*AB156+(1-EXP(-LN(2)/2))/(LN(2)/2)*V157*Y157*VLOOKUP('Données projet'!$B$9,Paramètres!$A$1:$I$89,3,0)*0.475*44/12</f>
        <v>1.1808463005317921E-18</v>
      </c>
      <c r="AC157" s="22">
        <f t="shared" si="163"/>
        <v>0.92919362941744366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-4.5474735088646412E-13</v>
      </c>
      <c r="AJ157" s="13">
        <f>AI157*VLOOKUP('Données projet'!$B$10,Paramètres!$A$1:$I$89,3,0)*VLOOKUP('Données projet'!$B$10,Paramètres!$A$1:$I$89,5,0)</f>
        <v>-2.7193891583010558E-13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247.30892363953825</v>
      </c>
      <c r="AO157" s="59">
        <f t="shared" si="144"/>
        <v>248.38414731596578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0.42880892853015545</v>
      </c>
      <c r="AV157" s="21">
        <f>EXP(-LN(2)/25)*AV156+(1-EXP(-LN(2)/25))/(LN(2)/25)*Calculateur!AQ157*Calculateur!AS157*VLOOKUP('Données projet'!$B$10,Paramètres!$A$1:$I$89,3,0)*0.475*44/12</f>
        <v>0.33285998021384544</v>
      </c>
      <c r="AW157" s="21">
        <f>EXP(-LN(2)/2)*AW156+(1-EXP(-LN(2)/2))/(LN(2)/2)*AQ157*AT157*VLOOKUP('Données projet'!$B$10,Paramètres!$A$1:$I$89,3,0)*0.475*44/12</f>
        <v>4.1177641757252266E-18</v>
      </c>
      <c r="AX157" s="21">
        <f t="shared" si="166"/>
        <v>0.76166890874400095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-9.1631591203622526E-14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265.97106059040101</v>
      </c>
      <c r="BJ157" s="59">
        <f t="shared" si="146"/>
        <v>240.18718869578237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0.49447676927607831</v>
      </c>
      <c r="BQ157" s="21">
        <f>EXP(-LN(2)/25)*BQ156+(1-EXP(-LN(2)/25))/(LN(2)/25)*Calculateur!BL157*Calculateur!BN157*VLOOKUP('Données projet'!$B$11,Paramètres!$A$1:$I$89,3,0)*0.475*44/12</f>
        <v>0.36885869248779135</v>
      </c>
      <c r="BR157" s="21">
        <f>EXP(-LN(2)/2)*BR156+(1-EXP(-LN(2)/2))/(LN(2)/2)*BL157*BO157*VLOOKUP('Données projet'!$B$11,Paramètres!$A$1:$I$89,3,0)*0.475*44/12</f>
        <v>3.8785279119031457E-18</v>
      </c>
      <c r="BS157" s="22">
        <f t="shared" si="169"/>
        <v>0.86333546176386966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-4.5474735088646412E-13</v>
      </c>
      <c r="BZ157" s="13">
        <f>BY157*VLOOKUP('Données projet'!$B$12,Paramètres!$A$1:$I$89,3,0)*VLOOKUP('Données projet'!$B$12,Paramètres!$A$1:$I$89,5,0)</f>
        <v>-2.7193891583010558E-13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247.30892363953825</v>
      </c>
      <c r="CE157" s="59">
        <f t="shared" si="148"/>
        <v>248.38414731596578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0.42880892853015545</v>
      </c>
      <c r="CL157" s="21">
        <f>EXP(-LN(2)/25)*CL156+(1-EXP(-LN(2)/25))/(LN(2)/25)*Calculateur!CG157*Calculateur!CI157*VLOOKUP('Données projet'!$B$12,Paramètres!$A$1:$I$89,3,0)*0.475*44/12</f>
        <v>0.33285998021384544</v>
      </c>
      <c r="CM157" s="21">
        <f>EXP(-LN(2)/2)*CM156+(1-EXP(-LN(2)/2))/(LN(2)/2)*CG157*CJ157*VLOOKUP('Données projet'!$B$12,Paramètres!$A$1:$I$89,3,0)*0.475*44/12</f>
        <v>4.1177641757252266E-18</v>
      </c>
      <c r="CN157" s="22">
        <f t="shared" si="172"/>
        <v>0.76166890874400095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191.77102466144095</v>
      </c>
      <c r="T158" s="59">
        <f t="shared" si="142"/>
        <v>205.57161411620217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0.5225679745781644</v>
      </c>
      <c r="AA158" s="21">
        <f>EXP(-LN(2)/25)*AA157+(1-EXP(-LN(2)/25))/(LN(2)/25)*Calculateur!V158*Calculateur!X158*VLOOKUP('Données projet'!$B$9,Paramètres!$A$1:$I$89,3,0)*0.475*44/12</f>
        <v>0.38534007037361928</v>
      </c>
      <c r="AB158" s="21">
        <f>EXP(-LN(2)/2)*AB157+(1-EXP(-LN(2)/2))/(LN(2)/2)*V158*Y158*VLOOKUP('Données projet'!$B$9,Paramètres!$A$1:$I$89,3,0)*0.475*44/12</f>
        <v>8.3498442664507805E-19</v>
      </c>
      <c r="AC158" s="22">
        <f t="shared" si="163"/>
        <v>0.90790804495178368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-4.5474735088646412E-13</v>
      </c>
      <c r="AJ158" s="13">
        <f>AI158*VLOOKUP('Données projet'!$B$10,Paramètres!$A$1:$I$89,3,0)*VLOOKUP('Données projet'!$B$10,Paramètres!$A$1:$I$89,5,0)</f>
        <v>-2.7193891583010558E-13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247.30892363953825</v>
      </c>
      <c r="AO158" s="59">
        <f t="shared" si="144"/>
        <v>248.38414731596578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0.42040024698929984</v>
      </c>
      <c r="AV158" s="21">
        <f>EXP(-LN(2)/25)*AV157+(1-EXP(-LN(2)/25))/(LN(2)/25)*Calculateur!AQ158*Calculateur!AS158*VLOOKUP('Données projet'!$B$10,Paramètres!$A$1:$I$89,3,0)*0.475*44/12</f>
        <v>0.32375790655055225</v>
      </c>
      <c r="AW158" s="21">
        <f>EXP(-LN(2)/2)*AW157+(1-EXP(-LN(2)/2))/(LN(2)/2)*AQ158*AT158*VLOOKUP('Données projet'!$B$10,Paramètres!$A$1:$I$89,3,0)*0.475*44/12</f>
        <v>2.9116989719823421E-18</v>
      </c>
      <c r="AX158" s="21">
        <f t="shared" si="166"/>
        <v>0.74415815353985204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-9.1631591203622526E-14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265.97106059040101</v>
      </c>
      <c r="BJ158" s="59">
        <f t="shared" si="146"/>
        <v>240.18718869578237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0.48478038143162305</v>
      </c>
      <c r="BQ158" s="21">
        <f>EXP(-LN(2)/25)*BQ157+(1-EXP(-LN(2)/25))/(LN(2)/25)*Calculateur!BL158*Calculateur!BN158*VLOOKUP('Données projet'!$B$11,Paramètres!$A$1:$I$89,3,0)*0.475*44/12</f>
        <v>0.35877223214427711</v>
      </c>
      <c r="BR158" s="21">
        <f>EXP(-LN(2)/2)*BR157+(1-EXP(-LN(2)/2))/(LN(2)/2)*BL158*BO158*VLOOKUP('Données projet'!$B$11,Paramètres!$A$1:$I$89,3,0)*0.475*44/12</f>
        <v>2.7425333875280147E-18</v>
      </c>
      <c r="BS158" s="22">
        <f t="shared" si="169"/>
        <v>0.84355261357590017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-4.5474735088646412E-13</v>
      </c>
      <c r="BZ158" s="13">
        <f>BY158*VLOOKUP('Données projet'!$B$12,Paramètres!$A$1:$I$89,3,0)*VLOOKUP('Données projet'!$B$12,Paramètres!$A$1:$I$89,5,0)</f>
        <v>-2.7193891583010558E-13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247.30892363953825</v>
      </c>
      <c r="CE158" s="59">
        <f t="shared" si="148"/>
        <v>248.38414731596578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0.42040024698929984</v>
      </c>
      <c r="CL158" s="21">
        <f>EXP(-LN(2)/25)*CL157+(1-EXP(-LN(2)/25))/(LN(2)/25)*Calculateur!CG158*Calculateur!CI158*VLOOKUP('Données projet'!$B$12,Paramètres!$A$1:$I$89,3,0)*0.475*44/12</f>
        <v>0.32375790655055225</v>
      </c>
      <c r="CM158" s="21">
        <f>EXP(-LN(2)/2)*CM157+(1-EXP(-LN(2)/2))/(LN(2)/2)*CG158*CJ158*VLOOKUP('Données projet'!$B$12,Paramètres!$A$1:$I$89,3,0)*0.475*44/12</f>
        <v>2.9116989719823421E-18</v>
      </c>
      <c r="CN158" s="22">
        <f t="shared" si="172"/>
        <v>0.74415815353985204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191.77102466144095</v>
      </c>
      <c r="T159" s="59">
        <f t="shared" si="142"/>
        <v>205.57161411620217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0.51232073533167866</v>
      </c>
      <c r="AA159" s="21">
        <f>EXP(-LN(2)/25)*AA158+(1-EXP(-LN(2)/25))/(LN(2)/25)*Calculateur!V159*Calculateur!X159*VLOOKUP('Données projet'!$B$9,Paramètres!$A$1:$I$89,3,0)*0.475*44/12</f>
        <v>0.37480292588509906</v>
      </c>
      <c r="AB159" s="21">
        <f>EXP(-LN(2)/2)*AB158+(1-EXP(-LN(2)/2))/(LN(2)/2)*V159*Y159*VLOOKUP('Données projet'!$B$9,Paramètres!$A$1:$I$89,3,0)*0.475*44/12</f>
        <v>5.9042315026589604E-19</v>
      </c>
      <c r="AC159" s="22">
        <f t="shared" si="163"/>
        <v>0.88712366121677766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-4.5474735088646412E-13</v>
      </c>
      <c r="AJ159" s="13">
        <f>AI159*VLOOKUP('Données projet'!$B$10,Paramètres!$A$1:$I$89,3,0)*VLOOKUP('Données projet'!$B$10,Paramètres!$A$1:$I$89,5,0)</f>
        <v>-2.7193891583010558E-13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247.30892363953825</v>
      </c>
      <c r="AO159" s="59">
        <f t="shared" si="144"/>
        <v>248.38414731596578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0.41215645456467109</v>
      </c>
      <c r="AV159" s="21">
        <f>EXP(-LN(2)/25)*AV158+(1-EXP(-LN(2)/25))/(LN(2)/25)*Calculateur!AQ159*Calculateur!AS159*VLOOKUP('Données projet'!$B$10,Paramètres!$A$1:$I$89,3,0)*0.475*44/12</f>
        <v>0.31490472957023907</v>
      </c>
      <c r="AW159" s="21">
        <f>EXP(-LN(2)/2)*AW158+(1-EXP(-LN(2)/2))/(LN(2)/2)*AQ159*AT159*VLOOKUP('Données projet'!$B$10,Paramètres!$A$1:$I$89,3,0)*0.475*44/12</f>
        <v>2.0588820878626133E-18</v>
      </c>
      <c r="AX159" s="21">
        <f t="shared" si="166"/>
        <v>0.72706118413491017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-9.1631591203622526E-14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265.97106059040101</v>
      </c>
      <c r="BJ159" s="59">
        <f t="shared" si="146"/>
        <v>240.18718869578237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0.47527413383858497</v>
      </c>
      <c r="BQ159" s="21">
        <f>EXP(-LN(2)/25)*BQ158+(1-EXP(-LN(2)/25))/(LN(2)/25)*Calculateur!BL159*Calculateur!BN159*VLOOKUP('Données projet'!$B$11,Paramètres!$A$1:$I$89,3,0)*0.475*44/12</f>
        <v>0.34896158658928017</v>
      </c>
      <c r="BR159" s="21">
        <f>EXP(-LN(2)/2)*BR158+(1-EXP(-LN(2)/2))/(LN(2)/2)*BL159*BO159*VLOOKUP('Données projet'!$B$11,Paramètres!$A$1:$I$89,3,0)*0.475*44/12</f>
        <v>1.9392639559515728E-18</v>
      </c>
      <c r="BS159" s="22">
        <f t="shared" si="169"/>
        <v>0.82423572042786519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-4.5474735088646412E-13</v>
      </c>
      <c r="BZ159" s="13">
        <f>BY159*VLOOKUP('Données projet'!$B$12,Paramètres!$A$1:$I$89,3,0)*VLOOKUP('Données projet'!$B$12,Paramètres!$A$1:$I$89,5,0)</f>
        <v>-2.7193891583010558E-13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247.30892363953825</v>
      </c>
      <c r="CE159" s="59">
        <f t="shared" si="148"/>
        <v>248.38414731596578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0.41215645456467109</v>
      </c>
      <c r="CL159" s="21">
        <f>EXP(-LN(2)/25)*CL158+(1-EXP(-LN(2)/25))/(LN(2)/25)*Calculateur!CG159*Calculateur!CI159*VLOOKUP('Données projet'!$B$12,Paramètres!$A$1:$I$89,3,0)*0.475*44/12</f>
        <v>0.31490472957023907</v>
      </c>
      <c r="CM159" s="21">
        <f>EXP(-LN(2)/2)*CM158+(1-EXP(-LN(2)/2))/(LN(2)/2)*CG159*CJ159*VLOOKUP('Données projet'!$B$12,Paramètres!$A$1:$I$89,3,0)*0.475*44/12</f>
        <v>2.0588820878626133E-18</v>
      </c>
      <c r="CN159" s="22">
        <f t="shared" si="172"/>
        <v>0.72706118413491017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191.77102466144095</v>
      </c>
      <c r="T160" s="59">
        <f t="shared" si="142"/>
        <v>205.57161411620217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0.50227443819661766</v>
      </c>
      <c r="AA160" s="21">
        <f>EXP(-LN(2)/25)*AA159+(1-EXP(-LN(2)/25))/(LN(2)/25)*Calculateur!V160*Calculateur!X160*VLOOKUP('Données projet'!$B$9,Paramètres!$A$1:$I$89,3,0)*0.475*44/12</f>
        <v>0.36455392016674176</v>
      </c>
      <c r="AB160" s="21">
        <f>EXP(-LN(2)/2)*AB159+(1-EXP(-LN(2)/2))/(LN(2)/2)*V160*Y160*VLOOKUP('Données projet'!$B$9,Paramètres!$A$1:$I$89,3,0)*0.475*44/12</f>
        <v>4.1749221332253903E-19</v>
      </c>
      <c r="AC160" s="22">
        <f t="shared" si="163"/>
        <v>0.86682835836335936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-4.5474735088646412E-13</v>
      </c>
      <c r="AJ160" s="13">
        <f>AI160*VLOOKUP('Données projet'!$B$10,Paramètres!$A$1:$I$89,3,0)*VLOOKUP('Données projet'!$B$10,Paramètres!$A$1:$I$89,5,0)</f>
        <v>-2.7193891583010558E-13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247.30892363953825</v>
      </c>
      <c r="AO160" s="59">
        <f t="shared" si="144"/>
        <v>248.38414731596578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0.4040743178812724</v>
      </c>
      <c r="AV160" s="21">
        <f>EXP(-LN(2)/25)*AV159+(1-EXP(-LN(2)/25))/(LN(2)/25)*Calculateur!AQ160*Calculateur!AS160*VLOOKUP('Données projet'!$B$10,Paramètres!$A$1:$I$89,3,0)*0.475*44/12</f>
        <v>0.30629364318002089</v>
      </c>
      <c r="AW160" s="21">
        <f>EXP(-LN(2)/2)*AW159+(1-EXP(-LN(2)/2))/(LN(2)/2)*AQ160*AT160*VLOOKUP('Données projet'!$B$10,Paramètres!$A$1:$I$89,3,0)*0.475*44/12</f>
        <v>1.4558494859911711E-18</v>
      </c>
      <c r="AX160" s="21">
        <f t="shared" si="166"/>
        <v>0.7103679610612933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-9.1631591203622526E-14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265.97106059040101</v>
      </c>
      <c r="BJ160" s="59">
        <f t="shared" si="146"/>
        <v>240.18718869578237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0.46595429796260784</v>
      </c>
      <c r="BQ160" s="21">
        <f>EXP(-LN(2)/25)*BQ159+(1-EXP(-LN(2)/25))/(LN(2)/25)*Calculateur!BL160*Calculateur!BN160*VLOOKUP('Données projet'!$B$11,Paramètres!$A$1:$I$89,3,0)*0.475*44/12</f>
        <v>0.33941921365290401</v>
      </c>
      <c r="BR160" s="21">
        <f>EXP(-LN(2)/2)*BR159+(1-EXP(-LN(2)/2))/(LN(2)/2)*BL160*BO160*VLOOKUP('Données projet'!$B$11,Paramètres!$A$1:$I$89,3,0)*0.475*44/12</f>
        <v>1.3712666937640074E-18</v>
      </c>
      <c r="BS160" s="22">
        <f t="shared" si="169"/>
        <v>0.80537351161551185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-4.5474735088646412E-13</v>
      </c>
      <c r="BZ160" s="13">
        <f>BY160*VLOOKUP('Données projet'!$B$12,Paramètres!$A$1:$I$89,3,0)*VLOOKUP('Données projet'!$B$12,Paramètres!$A$1:$I$89,5,0)</f>
        <v>-2.7193891583010558E-13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247.30892363953825</v>
      </c>
      <c r="CE160" s="59">
        <f t="shared" si="148"/>
        <v>248.38414731596578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0.4040743178812724</v>
      </c>
      <c r="CL160" s="21">
        <f>EXP(-LN(2)/25)*CL159+(1-EXP(-LN(2)/25))/(LN(2)/25)*Calculateur!CG160*Calculateur!CI160*VLOOKUP('Données projet'!$B$12,Paramètres!$A$1:$I$89,3,0)*0.475*44/12</f>
        <v>0.30629364318002089</v>
      </c>
      <c r="CM160" s="21">
        <f>EXP(-LN(2)/2)*CM159+(1-EXP(-LN(2)/2))/(LN(2)/2)*CG160*CJ160*VLOOKUP('Données projet'!$B$12,Paramètres!$A$1:$I$89,3,0)*0.475*44/12</f>
        <v>1.4558494859911711E-18</v>
      </c>
      <c r="CN160" s="22">
        <f t="shared" si="172"/>
        <v>0.7103679610612933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191.77102466144095</v>
      </c>
      <c r="T161" s="59">
        <f t="shared" si="142"/>
        <v>205.57161411620217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0.49242514282073901</v>
      </c>
      <c r="AA161" s="21">
        <f>EXP(-LN(2)/25)*AA160+(1-EXP(-LN(2)/25))/(LN(2)/25)*Calculateur!V161*Calculateur!X161*VLOOKUP('Données projet'!$B$9,Paramètres!$A$1:$I$89,3,0)*0.475*44/12</f>
        <v>0.35458517404872475</v>
      </c>
      <c r="AB161" s="21">
        <f>EXP(-LN(2)/2)*AB160+(1-EXP(-LN(2)/2))/(LN(2)/2)*V161*Y161*VLOOKUP('Données projet'!$B$9,Paramètres!$A$1:$I$89,3,0)*0.475*44/12</f>
        <v>2.9521157513294802E-19</v>
      </c>
      <c r="AC161" s="22">
        <f t="shared" si="163"/>
        <v>0.84701031686946382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-4.5474735088646412E-13</v>
      </c>
      <c r="AJ161" s="13">
        <f>AI161*VLOOKUP('Données projet'!$B$10,Paramètres!$A$1:$I$89,3,0)*VLOOKUP('Données projet'!$B$10,Paramètres!$A$1:$I$89,5,0)</f>
        <v>-2.7193891583010558E-13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247.30892363953825</v>
      </c>
      <c r="AO161" s="59">
        <f t="shared" si="144"/>
        <v>248.38414731596578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0.39615066696861856</v>
      </c>
      <c r="AV161" s="21">
        <f>EXP(-LN(2)/25)*AV160+(1-EXP(-LN(2)/25))/(LN(2)/25)*Calculateur!AQ161*Calculateur!AS161*VLOOKUP('Données projet'!$B$10,Paramètres!$A$1:$I$89,3,0)*0.475*44/12</f>
        <v>0.29791802739998058</v>
      </c>
      <c r="AW161" s="21">
        <f>EXP(-LN(2)/2)*AW160+(1-EXP(-LN(2)/2))/(LN(2)/2)*AQ161*AT161*VLOOKUP('Données projet'!$B$10,Paramètres!$A$1:$I$89,3,0)*0.475*44/12</f>
        <v>1.0294410439313067E-18</v>
      </c>
      <c r="AX161" s="21">
        <f t="shared" si="166"/>
        <v>0.69406869436859919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-9.1631591203622526E-14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265.97106059040101</v>
      </c>
      <c r="BJ161" s="59">
        <f t="shared" si="146"/>
        <v>240.18718869578237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0.45681721838362005</v>
      </c>
      <c r="BQ161" s="21">
        <f>EXP(-LN(2)/25)*BQ160+(1-EXP(-LN(2)/25))/(LN(2)/25)*Calculateur!BL161*Calculateur!BN161*VLOOKUP('Données projet'!$B$11,Paramètres!$A$1:$I$89,3,0)*0.475*44/12</f>
        <v>0.33013777740628464</v>
      </c>
      <c r="BR161" s="21">
        <f>EXP(-LN(2)/2)*BR160+(1-EXP(-LN(2)/2))/(LN(2)/2)*BL161*BO161*VLOOKUP('Données projet'!$B$11,Paramètres!$A$1:$I$89,3,0)*0.475*44/12</f>
        <v>9.6963197797578642E-19</v>
      </c>
      <c r="BS161" s="22">
        <f t="shared" si="169"/>
        <v>0.78695499578990469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-4.5474735088646412E-13</v>
      </c>
      <c r="BZ161" s="13">
        <f>BY161*VLOOKUP('Données projet'!$B$12,Paramètres!$A$1:$I$89,3,0)*VLOOKUP('Données projet'!$B$12,Paramètres!$A$1:$I$89,5,0)</f>
        <v>-2.7193891583010558E-13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247.30892363953825</v>
      </c>
      <c r="CE161" s="59">
        <f t="shared" si="148"/>
        <v>248.38414731596578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0.39615066696861856</v>
      </c>
      <c r="CL161" s="21">
        <f>EXP(-LN(2)/25)*CL160+(1-EXP(-LN(2)/25))/(LN(2)/25)*Calculateur!CG161*Calculateur!CI161*VLOOKUP('Données projet'!$B$12,Paramètres!$A$1:$I$89,3,0)*0.475*44/12</f>
        <v>0.29791802739998058</v>
      </c>
      <c r="CM161" s="21">
        <f>EXP(-LN(2)/2)*CM160+(1-EXP(-LN(2)/2))/(LN(2)/2)*CG161*CJ161*VLOOKUP('Données projet'!$B$12,Paramètres!$A$1:$I$89,3,0)*0.475*44/12</f>
        <v>1.0294410439313067E-18</v>
      </c>
      <c r="CN161" s="22">
        <f t="shared" si="172"/>
        <v>0.69406869436859919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191.77102466144095</v>
      </c>
      <c r="T162" s="59">
        <f t="shared" si="142"/>
        <v>205.57161411620217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0.48276898611970437</v>
      </c>
      <c r="AA162" s="21">
        <f>EXP(-LN(2)/25)*AA161+(1-EXP(-LN(2)/25))/(LN(2)/25)*Calculateur!V162*Calculateur!X162*VLOOKUP('Données projet'!$B$9,Paramètres!$A$1:$I$89,3,0)*0.475*44/12</f>
        <v>0.3448890238175385</v>
      </c>
      <c r="AB162" s="21">
        <f>EXP(-LN(2)/2)*AB161+(1-EXP(-LN(2)/2))/(LN(2)/2)*V162*Y162*VLOOKUP('Données projet'!$B$9,Paramètres!$A$1:$I$89,3,0)*0.475*44/12</f>
        <v>2.0874610666126951E-19</v>
      </c>
      <c r="AC162" s="22">
        <f t="shared" si="163"/>
        <v>0.82765800993724281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-4.5474735088646412E-13</v>
      </c>
      <c r="AJ162" s="13">
        <f>AI162*VLOOKUP('Données projet'!$B$10,Paramètres!$A$1:$I$89,3,0)*VLOOKUP('Données projet'!$B$10,Paramètres!$A$1:$I$89,5,0)</f>
        <v>-2.7193891583010558E-13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247.30892363953825</v>
      </c>
      <c r="AO162" s="59">
        <f t="shared" si="144"/>
        <v>248.38414731596578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0.38838239401741204</v>
      </c>
      <c r="AV162" s="21">
        <f>EXP(-LN(2)/25)*AV161+(1-EXP(-LN(2)/25))/(LN(2)/25)*Calculateur!AQ162*Calculateur!AS162*VLOOKUP('Données projet'!$B$10,Paramètres!$A$1:$I$89,3,0)*0.475*44/12</f>
        <v>0.28977144327389998</v>
      </c>
      <c r="AW162" s="21">
        <f>EXP(-LN(2)/2)*AW161+(1-EXP(-LN(2)/2))/(LN(2)/2)*AQ162*AT162*VLOOKUP('Données projet'!$B$10,Paramètres!$A$1:$I$89,3,0)*0.475*44/12</f>
        <v>7.2792474299558553E-19</v>
      </c>
      <c r="AX162" s="21">
        <f t="shared" si="166"/>
        <v>0.67815383729131207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-9.1631591203622526E-14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265.97106059040101</v>
      </c>
      <c r="BJ162" s="59">
        <f t="shared" si="146"/>
        <v>240.18718869578237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0.44785931136210794</v>
      </c>
      <c r="BQ162" s="21">
        <f>EXP(-LN(2)/25)*BQ161+(1-EXP(-LN(2)/25))/(LN(2)/25)*Calculateur!BL162*Calculateur!BN162*VLOOKUP('Données projet'!$B$11,Paramètres!$A$1:$I$89,3,0)*0.475*44/12</f>
        <v>0.32111014252191861</v>
      </c>
      <c r="BR162" s="21">
        <f>EXP(-LN(2)/2)*BR161+(1-EXP(-LN(2)/2))/(LN(2)/2)*BL162*BO162*VLOOKUP('Données projet'!$B$11,Paramètres!$A$1:$I$89,3,0)*0.475*44/12</f>
        <v>6.8563334688200369E-19</v>
      </c>
      <c r="BS162" s="22">
        <f t="shared" si="169"/>
        <v>0.7689694538840266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-4.5474735088646412E-13</v>
      </c>
      <c r="BZ162" s="13">
        <f>BY162*VLOOKUP('Données projet'!$B$12,Paramètres!$A$1:$I$89,3,0)*VLOOKUP('Données projet'!$B$12,Paramètres!$A$1:$I$89,5,0)</f>
        <v>-2.7193891583010558E-13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247.30892363953825</v>
      </c>
      <c r="CE162" s="59">
        <f t="shared" si="148"/>
        <v>248.38414731596578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0.38838239401741204</v>
      </c>
      <c r="CL162" s="21">
        <f>EXP(-LN(2)/25)*CL161+(1-EXP(-LN(2)/25))/(LN(2)/25)*Calculateur!CG162*Calculateur!CI162*VLOOKUP('Données projet'!$B$12,Paramètres!$A$1:$I$89,3,0)*0.475*44/12</f>
        <v>0.28977144327389998</v>
      </c>
      <c r="CM162" s="21">
        <f>EXP(-LN(2)/2)*CM161+(1-EXP(-LN(2)/2))/(LN(2)/2)*CG162*CJ162*VLOOKUP('Données projet'!$B$12,Paramètres!$A$1:$I$89,3,0)*0.475*44/12</f>
        <v>7.2792474299558553E-19</v>
      </c>
      <c r="CN162" s="22">
        <f t="shared" si="172"/>
        <v>0.67815383729131207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191.77102466144095</v>
      </c>
      <c r="T163" s="59">
        <f t="shared" si="142"/>
        <v>205.57161411620217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0.473302180761903</v>
      </c>
      <c r="AA163" s="21">
        <f>EXP(-LN(2)/25)*AA162+(1-EXP(-LN(2)/25))/(LN(2)/25)*Calculateur!V163*Calculateur!X163*VLOOKUP('Données projet'!$B$9,Paramètres!$A$1:$I$89,3,0)*0.475*44/12</f>
        <v>0.3354580153243224</v>
      </c>
      <c r="AB163" s="21">
        <f>EXP(-LN(2)/2)*AB162+(1-EXP(-LN(2)/2))/(LN(2)/2)*V163*Y163*VLOOKUP('Données projet'!$B$9,Paramètres!$A$1:$I$89,3,0)*0.475*44/12</f>
        <v>1.4760578756647401E-19</v>
      </c>
      <c r="AC163" s="22">
        <f t="shared" si="163"/>
        <v>0.8087601960862254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-4.5474735088646412E-13</v>
      </c>
      <c r="AJ163" s="13">
        <f>AI163*VLOOKUP('Données projet'!$B$10,Paramètres!$A$1:$I$89,3,0)*VLOOKUP('Données projet'!$B$10,Paramètres!$A$1:$I$89,5,0)</f>
        <v>-2.7193891583010558E-13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247.30892363953825</v>
      </c>
      <c r="AO163" s="59">
        <f t="shared" si="144"/>
        <v>248.38414731596578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0.38076645216060001</v>
      </c>
      <c r="AV163" s="21">
        <f>EXP(-LN(2)/25)*AV162+(1-EXP(-LN(2)/25))/(LN(2)/25)*Calculateur!AQ163*Calculateur!AS163*VLOOKUP('Données projet'!$B$10,Paramètres!$A$1:$I$89,3,0)*0.475*44/12</f>
        <v>0.28184762791915724</v>
      </c>
      <c r="AW163" s="21">
        <f>EXP(-LN(2)/2)*AW162+(1-EXP(-LN(2)/2))/(LN(2)/2)*AQ163*AT163*VLOOKUP('Données projet'!$B$10,Paramètres!$A$1:$I$89,3,0)*0.475*44/12</f>
        <v>5.1472052196565333E-19</v>
      </c>
      <c r="AX163" s="21">
        <f t="shared" si="166"/>
        <v>0.66261408007975731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-9.1631591203622526E-14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265.97106059040101</v>
      </c>
      <c r="BJ163" s="59">
        <f t="shared" si="146"/>
        <v>240.18718869578237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0.43907706343350389</v>
      </c>
      <c r="BQ163" s="21">
        <f>EXP(-LN(2)/25)*BQ162+(1-EXP(-LN(2)/25))/(LN(2)/25)*Calculateur!BL163*Calculateur!BN163*VLOOKUP('Données projet'!$B$11,Paramètres!$A$1:$I$89,3,0)*0.475*44/12</f>
        <v>0.31232936878820827</v>
      </c>
      <c r="BR163" s="21">
        <f>EXP(-LN(2)/2)*BR162+(1-EXP(-LN(2)/2))/(LN(2)/2)*BL163*BO163*VLOOKUP('Données projet'!$B$11,Paramètres!$A$1:$I$89,3,0)*0.475*44/12</f>
        <v>4.8481598898789321E-19</v>
      </c>
      <c r="BS163" s="22">
        <f t="shared" si="169"/>
        <v>0.75140643222171222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-4.5474735088646412E-13</v>
      </c>
      <c r="BZ163" s="13">
        <f>BY163*VLOOKUP('Données projet'!$B$12,Paramètres!$A$1:$I$89,3,0)*VLOOKUP('Données projet'!$B$12,Paramètres!$A$1:$I$89,5,0)</f>
        <v>-2.7193891583010558E-13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247.30892363953825</v>
      </c>
      <c r="CE163" s="59">
        <f t="shared" si="148"/>
        <v>248.38414731596578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0.38076645216060001</v>
      </c>
      <c r="CL163" s="21">
        <f>EXP(-LN(2)/25)*CL162+(1-EXP(-LN(2)/25))/(LN(2)/25)*Calculateur!CG163*Calculateur!CI163*VLOOKUP('Données projet'!$B$12,Paramètres!$A$1:$I$89,3,0)*0.475*44/12</f>
        <v>0.28184762791915724</v>
      </c>
      <c r="CM163" s="21">
        <f>EXP(-LN(2)/2)*CM162+(1-EXP(-LN(2)/2))/(LN(2)/2)*CG163*CJ163*VLOOKUP('Données projet'!$B$12,Paramètres!$A$1:$I$89,3,0)*0.475*44/12</f>
        <v>5.1472052196565333E-19</v>
      </c>
      <c r="CN163" s="22">
        <f t="shared" si="172"/>
        <v>0.66261408007975731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191.77102466144095</v>
      </c>
      <c r="T164" s="59">
        <f t="shared" si="142"/>
        <v>205.57161411620217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0.46402101368298698</v>
      </c>
      <c r="AA164" s="21">
        <f>EXP(-LN(2)/25)*AA163+(1-EXP(-LN(2)/25))/(LN(2)/25)*Calculateur!V164*Calculateur!X164*VLOOKUP('Données projet'!$B$9,Paramètres!$A$1:$I$89,3,0)*0.475*44/12</f>
        <v>0.32628489825430845</v>
      </c>
      <c r="AB164" s="21">
        <f>EXP(-LN(2)/2)*AB163+(1-EXP(-LN(2)/2))/(LN(2)/2)*V164*Y164*VLOOKUP('Données projet'!$B$9,Paramètres!$A$1:$I$89,3,0)*0.475*44/12</f>
        <v>1.0437305333063476E-19</v>
      </c>
      <c r="AC164" s="22">
        <f t="shared" si="163"/>
        <v>0.79030591193729549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-4.5474735088646412E-13</v>
      </c>
      <c r="AJ164" s="13">
        <f>AI164*VLOOKUP('Données projet'!$B$10,Paramètres!$A$1:$I$89,3,0)*VLOOKUP('Données projet'!$B$10,Paramètres!$A$1:$I$89,5,0)</f>
        <v>-2.7193891583010558E-13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247.30892363953825</v>
      </c>
      <c r="AO164" s="59">
        <f t="shared" si="144"/>
        <v>248.38414731596578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0.37329985427833423</v>
      </c>
      <c r="AV164" s="21">
        <f>EXP(-LN(2)/25)*AV163+(1-EXP(-LN(2)/25))/(LN(2)/25)*Calculateur!AQ164*Calculateur!AS164*VLOOKUP('Données projet'!$B$10,Paramètres!$A$1:$I$89,3,0)*0.475*44/12</f>
        <v>0.27414048971198529</v>
      </c>
      <c r="AW164" s="21">
        <f>EXP(-LN(2)/2)*AW163+(1-EXP(-LN(2)/2))/(LN(2)/2)*AQ164*AT164*VLOOKUP('Données projet'!$B$10,Paramètres!$A$1:$I$89,3,0)*0.475*44/12</f>
        <v>3.6396237149779276E-19</v>
      </c>
      <c r="AX164" s="21">
        <f t="shared" si="166"/>
        <v>0.64744034399031958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-9.1631591203622526E-14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265.97106059040101</v>
      </c>
      <c r="BJ164" s="59">
        <f t="shared" si="146"/>
        <v>240.18718869578237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0.43046703003013748</v>
      </c>
      <c r="BQ164" s="21">
        <f>EXP(-LN(2)/25)*BQ163+(1-EXP(-LN(2)/25))/(LN(2)/25)*Calculateur!BL164*Calculateur!BN164*VLOOKUP('Données projet'!$B$11,Paramètres!$A$1:$I$89,3,0)*0.475*44/12</f>
        <v>0.30378870577400707</v>
      </c>
      <c r="BR164" s="21">
        <f>EXP(-LN(2)/2)*BR163+(1-EXP(-LN(2)/2))/(LN(2)/2)*BL164*BO164*VLOOKUP('Données projet'!$B$11,Paramètres!$A$1:$I$89,3,0)*0.475*44/12</f>
        <v>3.4281667344100184E-19</v>
      </c>
      <c r="BS164" s="22">
        <f t="shared" si="169"/>
        <v>0.7342557358041446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-4.5474735088646412E-13</v>
      </c>
      <c r="BZ164" s="13">
        <f>BY164*VLOOKUP('Données projet'!$B$12,Paramètres!$A$1:$I$89,3,0)*VLOOKUP('Données projet'!$B$12,Paramètres!$A$1:$I$89,5,0)</f>
        <v>-2.7193891583010558E-13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247.30892363953825</v>
      </c>
      <c r="CE164" s="59">
        <f t="shared" si="148"/>
        <v>248.38414731596578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0.37329985427833423</v>
      </c>
      <c r="CL164" s="21">
        <f>EXP(-LN(2)/25)*CL163+(1-EXP(-LN(2)/25))/(LN(2)/25)*Calculateur!CG164*Calculateur!CI164*VLOOKUP('Données projet'!$B$12,Paramètres!$A$1:$I$89,3,0)*0.475*44/12</f>
        <v>0.27414048971198529</v>
      </c>
      <c r="CM164" s="21">
        <f>EXP(-LN(2)/2)*CM163+(1-EXP(-LN(2)/2))/(LN(2)/2)*CG164*CJ164*VLOOKUP('Données projet'!$B$12,Paramètres!$A$1:$I$89,3,0)*0.475*44/12</f>
        <v>3.6396237149779276E-19</v>
      </c>
      <c r="CN164" s="22">
        <f t="shared" si="172"/>
        <v>0.64744034399031958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191.77102466144095</v>
      </c>
      <c r="T165" s="59">
        <f t="shared" si="142"/>
        <v>205.57161411620217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0.45492184462953555</v>
      </c>
      <c r="AA165" s="21">
        <f>EXP(-LN(2)/25)*AA164+(1-EXP(-LN(2)/25))/(LN(2)/25)*Calculateur!V165*Calculateur!X165*VLOOKUP('Données projet'!$B$9,Paramètres!$A$1:$I$89,3,0)*0.475*44/12</f>
        <v>0.31736262055296732</v>
      </c>
      <c r="AB165" s="21">
        <f>EXP(-LN(2)/2)*AB164+(1-EXP(-LN(2)/2))/(LN(2)/2)*V165*Y165*VLOOKUP('Données projet'!$B$9,Paramètres!$A$1:$I$89,3,0)*0.475*44/12</f>
        <v>7.3802893783237005E-20</v>
      </c>
      <c r="AC165" s="22">
        <f t="shared" si="163"/>
        <v>0.77228446518250293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-4.5474735088646412E-13</v>
      </c>
      <c r="AJ165" s="13">
        <f>AI165*VLOOKUP('Données projet'!$B$10,Paramètres!$A$1:$I$89,3,0)*VLOOKUP('Données projet'!$B$10,Paramètres!$A$1:$I$89,5,0)</f>
        <v>-2.7193891583010558E-13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247.30892363953825</v>
      </c>
      <c r="AO165" s="59">
        <f t="shared" si="144"/>
        <v>248.38414731596578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0.36597967182636465</v>
      </c>
      <c r="AV165" s="21">
        <f>EXP(-LN(2)/25)*AV164+(1-EXP(-LN(2)/25))/(LN(2)/25)*Calculateur!AQ165*Calculateur!AS165*VLOOKUP('Données projet'!$B$10,Paramètres!$A$1:$I$89,3,0)*0.475*44/12</f>
        <v>0.26664410360438928</v>
      </c>
      <c r="AW165" s="21">
        <f>EXP(-LN(2)/2)*AW164+(1-EXP(-LN(2)/2))/(LN(2)/2)*AQ165*AT165*VLOOKUP('Données projet'!$B$10,Paramètres!$A$1:$I$89,3,0)*0.475*44/12</f>
        <v>2.5736026098282666E-19</v>
      </c>
      <c r="AX165" s="21">
        <f t="shared" si="166"/>
        <v>0.63262377543075399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-9.1631591203622526E-14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265.97106059040101</v>
      </c>
      <c r="BJ165" s="59">
        <f t="shared" si="146"/>
        <v>240.18718869578237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0.42202583413020928</v>
      </c>
      <c r="BQ165" s="21">
        <f>EXP(-LN(2)/25)*BQ164+(1-EXP(-LN(2)/25))/(LN(2)/25)*Calculateur!BL165*Calculateur!BN165*VLOOKUP('Données projet'!$B$11,Paramètres!$A$1:$I$89,3,0)*0.475*44/12</f>
        <v>0.29548158763906313</v>
      </c>
      <c r="BR165" s="21">
        <f>EXP(-LN(2)/2)*BR164+(1-EXP(-LN(2)/2))/(LN(2)/2)*BL165*BO165*VLOOKUP('Données projet'!$B$11,Paramètres!$A$1:$I$89,3,0)*0.475*44/12</f>
        <v>2.4240799449394661E-19</v>
      </c>
      <c r="BS165" s="22">
        <f t="shared" si="169"/>
        <v>0.7175074217692724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-4.5474735088646412E-13</v>
      </c>
      <c r="BZ165" s="13">
        <f>BY165*VLOOKUP('Données projet'!$B$12,Paramètres!$A$1:$I$89,3,0)*VLOOKUP('Données projet'!$B$12,Paramètres!$A$1:$I$89,5,0)</f>
        <v>-2.7193891583010558E-13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247.30892363953825</v>
      </c>
      <c r="CE165" s="59">
        <f t="shared" si="148"/>
        <v>248.38414731596578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0.36597967182636465</v>
      </c>
      <c r="CL165" s="21">
        <f>EXP(-LN(2)/25)*CL164+(1-EXP(-LN(2)/25))/(LN(2)/25)*Calculateur!CG165*Calculateur!CI165*VLOOKUP('Données projet'!$B$12,Paramètres!$A$1:$I$89,3,0)*0.475*44/12</f>
        <v>0.26664410360438928</v>
      </c>
      <c r="CM165" s="21">
        <f>EXP(-LN(2)/2)*CM164+(1-EXP(-LN(2)/2))/(LN(2)/2)*CG165*CJ165*VLOOKUP('Données projet'!$B$12,Paramètres!$A$1:$I$89,3,0)*0.475*44/12</f>
        <v>2.5736026098282666E-19</v>
      </c>
      <c r="CN165" s="22">
        <f t="shared" si="172"/>
        <v>0.63262377543075399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191.77102466144095</v>
      </c>
      <c r="T166" s="59">
        <f t="shared" si="142"/>
        <v>205.57161411620217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0.44600110473127719</v>
      </c>
      <c r="AA166" s="21">
        <f>EXP(-LN(2)/25)*AA165+(1-EXP(-LN(2)/25))/(LN(2)/25)*Calculateur!V166*Calculateur!X166*VLOOKUP('Données projet'!$B$9,Paramètres!$A$1:$I$89,3,0)*0.475*44/12</f>
        <v>0.30868432300457155</v>
      </c>
      <c r="AB166" s="21">
        <f>EXP(-LN(2)/2)*AB165+(1-EXP(-LN(2)/2))/(LN(2)/2)*V166*Y166*VLOOKUP('Données projet'!$B$9,Paramètres!$A$1:$I$89,3,0)*0.475*44/12</f>
        <v>5.2186526665317378E-20</v>
      </c>
      <c r="AC166" s="22">
        <f t="shared" si="163"/>
        <v>0.75468542773584879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-4.5474735088646412E-13</v>
      </c>
      <c r="AJ166" s="13">
        <f>AI166*VLOOKUP('Données projet'!$B$10,Paramètres!$A$1:$I$89,3,0)*VLOOKUP('Données projet'!$B$10,Paramètres!$A$1:$I$89,5,0)</f>
        <v>-2.7193891583010558E-13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247.30892363953825</v>
      </c>
      <c r="AO166" s="59">
        <f t="shared" si="144"/>
        <v>248.38414731596578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0.35880303368740774</v>
      </c>
      <c r="AV166" s="21">
        <f>EXP(-LN(2)/25)*AV165+(1-EXP(-LN(2)/25))/(LN(2)/25)*Calculateur!AQ166*Calculateur!AS166*VLOOKUP('Données projet'!$B$10,Paramètres!$A$1:$I$89,3,0)*0.475*44/12</f>
        <v>0.25935270656912329</v>
      </c>
      <c r="AW166" s="21">
        <f>EXP(-LN(2)/2)*AW165+(1-EXP(-LN(2)/2))/(LN(2)/2)*AQ166*AT166*VLOOKUP('Données projet'!$B$10,Paramètres!$A$1:$I$89,3,0)*0.475*44/12</f>
        <v>1.8198118574889638E-19</v>
      </c>
      <c r="AX166" s="21">
        <f t="shared" si="166"/>
        <v>0.61815574025653097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-9.1631591203622526E-14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265.97106059040101</v>
      </c>
      <c r="BJ166" s="59">
        <f t="shared" si="146"/>
        <v>240.18718869578237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0.41375016493325756</v>
      </c>
      <c r="BQ166" s="21">
        <f>EXP(-LN(2)/25)*BQ165+(1-EXP(-LN(2)/25))/(LN(2)/25)*Calculateur!BL166*Calculateur!BN166*VLOOKUP('Données projet'!$B$11,Paramètres!$A$1:$I$89,3,0)*0.475*44/12</f>
        <v>0.2874016280863716</v>
      </c>
      <c r="BR166" s="21">
        <f>EXP(-LN(2)/2)*BR165+(1-EXP(-LN(2)/2))/(LN(2)/2)*BL166*BO166*VLOOKUP('Données projet'!$B$11,Paramètres!$A$1:$I$89,3,0)*0.475*44/12</f>
        <v>1.7140833672050092E-19</v>
      </c>
      <c r="BS166" s="22">
        <f t="shared" si="169"/>
        <v>0.70115179301962915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-4.5474735088646412E-13</v>
      </c>
      <c r="BZ166" s="13">
        <f>BY166*VLOOKUP('Données projet'!$B$12,Paramètres!$A$1:$I$89,3,0)*VLOOKUP('Données projet'!$B$12,Paramètres!$A$1:$I$89,5,0)</f>
        <v>-2.7193891583010558E-13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247.30892363953825</v>
      </c>
      <c r="CE166" s="59">
        <f t="shared" si="148"/>
        <v>248.38414731596578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0.35880303368740774</v>
      </c>
      <c r="CL166" s="21">
        <f>EXP(-LN(2)/25)*CL165+(1-EXP(-LN(2)/25))/(LN(2)/25)*Calculateur!CG166*Calculateur!CI166*VLOOKUP('Données projet'!$B$12,Paramètres!$A$1:$I$89,3,0)*0.475*44/12</f>
        <v>0.25935270656912329</v>
      </c>
      <c r="CM166" s="21">
        <f>EXP(-LN(2)/2)*CM165+(1-EXP(-LN(2)/2))/(LN(2)/2)*CG166*CJ166*VLOOKUP('Données projet'!$B$12,Paramètres!$A$1:$I$89,3,0)*0.475*44/12</f>
        <v>1.8198118574889638E-19</v>
      </c>
      <c r="CN166" s="22">
        <f t="shared" si="172"/>
        <v>0.61815574025653097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191.77102466144095</v>
      </c>
      <c r="T167" s="59">
        <f t="shared" si="142"/>
        <v>205.57161411620217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0.43725529510130962</v>
      </c>
      <c r="AA167" s="21">
        <f>EXP(-LN(2)/25)*AA166+(1-EXP(-LN(2)/25))/(LN(2)/25)*Calculateur!V167*Calculateur!X167*VLOOKUP('Données projet'!$B$9,Paramètres!$A$1:$I$89,3,0)*0.475*44/12</f>
        <v>0.30024333395900848</v>
      </c>
      <c r="AB167" s="21">
        <f>EXP(-LN(2)/2)*AB166+(1-EXP(-LN(2)/2))/(LN(2)/2)*V167*Y167*VLOOKUP('Données projet'!$B$9,Paramètres!$A$1:$I$89,3,0)*0.475*44/12</f>
        <v>3.6901446891618503E-20</v>
      </c>
      <c r="AC167" s="22">
        <f t="shared" si="163"/>
        <v>0.73749862906031804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-4.5474735088646412E-13</v>
      </c>
      <c r="AJ167" s="13">
        <f>AI167*VLOOKUP('Données projet'!$B$10,Paramètres!$A$1:$I$89,3,0)*VLOOKUP('Données projet'!$B$10,Paramètres!$A$1:$I$89,5,0)</f>
        <v>-2.7193891583010558E-13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247.30892363953825</v>
      </c>
      <c r="AO167" s="59">
        <f t="shared" si="144"/>
        <v>248.38414731596578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0.35176712504503876</v>
      </c>
      <c r="AV167" s="21">
        <f>EXP(-LN(2)/25)*AV166+(1-EXP(-LN(2)/25))/(LN(2)/25)*Calculateur!AQ167*Calculateur!AS167*VLOOKUP('Données projet'!$B$10,Paramètres!$A$1:$I$89,3,0)*0.475*44/12</f>
        <v>0.25226069316922456</v>
      </c>
      <c r="AW167" s="21">
        <f>EXP(-LN(2)/2)*AW166+(1-EXP(-LN(2)/2))/(LN(2)/2)*AQ167*AT167*VLOOKUP('Données projet'!$B$10,Paramètres!$A$1:$I$89,3,0)*0.475*44/12</f>
        <v>1.2868013049141333E-19</v>
      </c>
      <c r="AX167" s="21">
        <f t="shared" si="166"/>
        <v>0.60402781821426332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-9.1631591203622526E-14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265.97106059040101</v>
      </c>
      <c r="BJ167" s="59">
        <f t="shared" si="146"/>
        <v>240.18718869578237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0.40563677656159824</v>
      </c>
      <c r="BQ167" s="21">
        <f>EXP(-LN(2)/25)*BQ166+(1-EXP(-LN(2)/25))/(LN(2)/25)*Calculateur!BL167*Calculateur!BN167*VLOOKUP('Données projet'!$B$11,Paramètres!$A$1:$I$89,3,0)*0.475*44/12</f>
        <v>0.27954261545255499</v>
      </c>
      <c r="BR167" s="21">
        <f>EXP(-LN(2)/2)*BR166+(1-EXP(-LN(2)/2))/(LN(2)/2)*BL167*BO167*VLOOKUP('Données projet'!$B$11,Paramètres!$A$1:$I$89,3,0)*0.475*44/12</f>
        <v>1.212039972469733E-19</v>
      </c>
      <c r="BS167" s="22">
        <f t="shared" si="169"/>
        <v>0.68517939201415323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-4.5474735088646412E-13</v>
      </c>
      <c r="BZ167" s="13">
        <f>BY167*VLOOKUP('Données projet'!$B$12,Paramètres!$A$1:$I$89,3,0)*VLOOKUP('Données projet'!$B$12,Paramètres!$A$1:$I$89,5,0)</f>
        <v>-2.7193891583010558E-13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247.30892363953825</v>
      </c>
      <c r="CE167" s="59">
        <f t="shared" si="148"/>
        <v>248.38414731596578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0.35176712504503876</v>
      </c>
      <c r="CL167" s="21">
        <f>EXP(-LN(2)/25)*CL166+(1-EXP(-LN(2)/25))/(LN(2)/25)*Calculateur!CG167*Calculateur!CI167*VLOOKUP('Données projet'!$B$12,Paramètres!$A$1:$I$89,3,0)*0.475*44/12</f>
        <v>0.25226069316922456</v>
      </c>
      <c r="CM167" s="21">
        <f>EXP(-LN(2)/2)*CM166+(1-EXP(-LN(2)/2))/(LN(2)/2)*CG167*CJ167*VLOOKUP('Données projet'!$B$12,Paramètres!$A$1:$I$89,3,0)*0.475*44/12</f>
        <v>1.2868013049141333E-19</v>
      </c>
      <c r="CN167" s="22">
        <f t="shared" si="172"/>
        <v>0.60402781821426332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191.77102466144095</v>
      </c>
      <c r="T168" s="59">
        <f t="shared" si="142"/>
        <v>205.57161411620217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0.42868098546376859</v>
      </c>
      <c r="AA168" s="21">
        <f>EXP(-LN(2)/25)*AA167+(1-EXP(-LN(2)/25))/(LN(2)/25)*Calculateur!V168*Calculateur!X168*VLOOKUP('Données projet'!$B$9,Paramètres!$A$1:$I$89,3,0)*0.475*44/12</f>
        <v>0.29203316420278869</v>
      </c>
      <c r="AB168" s="21">
        <f>EXP(-LN(2)/2)*AB167+(1-EXP(-LN(2)/2))/(LN(2)/2)*V168*Y168*VLOOKUP('Données projet'!$B$9,Paramètres!$A$1:$I$89,3,0)*0.475*44/12</f>
        <v>2.6093263332658689E-20</v>
      </c>
      <c r="AC168" s="22">
        <f t="shared" si="163"/>
        <v>0.72071414966655722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-4.5474735088646412E-13</v>
      </c>
      <c r="AJ168" s="13">
        <f>AI168*VLOOKUP('Données projet'!$B$10,Paramètres!$A$1:$I$89,3,0)*VLOOKUP('Données projet'!$B$10,Paramètres!$A$1:$I$89,5,0)</f>
        <v>-2.7193891583010558E-13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247.30892363953825</v>
      </c>
      <c r="AO168" s="59">
        <f t="shared" si="144"/>
        <v>248.38414731596578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0.34486918627966612</v>
      </c>
      <c r="AV168" s="21">
        <f>EXP(-LN(2)/25)*AV167+(1-EXP(-LN(2)/25))/(LN(2)/25)*Calculateur!AQ168*Calculateur!AS168*VLOOKUP('Données projet'!$B$10,Paramètres!$A$1:$I$89,3,0)*0.475*44/12</f>
        <v>0.24536261124869882</v>
      </c>
      <c r="AW168" s="21">
        <f>EXP(-LN(2)/2)*AW167+(1-EXP(-LN(2)/2))/(LN(2)/2)*AQ168*AT168*VLOOKUP('Données projet'!$B$10,Paramètres!$A$1:$I$89,3,0)*0.475*44/12</f>
        <v>9.0990592874448191E-20</v>
      </c>
      <c r="AX168" s="21">
        <f t="shared" si="166"/>
        <v>0.59023179752836497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-9.1631591203622526E-14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265.97106059040101</v>
      </c>
      <c r="BJ168" s="59">
        <f t="shared" si="146"/>
        <v>240.18718869578237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0.39768248678722889</v>
      </c>
      <c r="BQ168" s="21">
        <f>EXP(-LN(2)/25)*BQ167+(1-EXP(-LN(2)/25))/(LN(2)/25)*Calculateur!BL168*Calculateur!BN168*VLOOKUP('Données projet'!$B$11,Paramètres!$A$1:$I$89,3,0)*0.475*44/12</f>
        <v>0.27189850793249765</v>
      </c>
      <c r="BR168" s="21">
        <f>EXP(-LN(2)/2)*BR167+(1-EXP(-LN(2)/2))/(LN(2)/2)*BL168*BO168*VLOOKUP('Données projet'!$B$11,Paramètres!$A$1:$I$89,3,0)*0.475*44/12</f>
        <v>8.5704168360250461E-20</v>
      </c>
      <c r="BS168" s="22">
        <f t="shared" si="169"/>
        <v>0.66958099471972654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-4.5474735088646412E-13</v>
      </c>
      <c r="BZ168" s="13">
        <f>BY168*VLOOKUP('Données projet'!$B$12,Paramètres!$A$1:$I$89,3,0)*VLOOKUP('Données projet'!$B$12,Paramètres!$A$1:$I$89,5,0)</f>
        <v>-2.7193891583010558E-13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247.30892363953825</v>
      </c>
      <c r="CE168" s="59">
        <f t="shared" si="148"/>
        <v>248.38414731596578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0.34486918627966612</v>
      </c>
      <c r="CL168" s="21">
        <f>EXP(-LN(2)/25)*CL167+(1-EXP(-LN(2)/25))/(LN(2)/25)*Calculateur!CG168*Calculateur!CI168*VLOOKUP('Données projet'!$B$12,Paramètres!$A$1:$I$89,3,0)*0.475*44/12</f>
        <v>0.24536261124869882</v>
      </c>
      <c r="CM168" s="21">
        <f>EXP(-LN(2)/2)*CM167+(1-EXP(-LN(2)/2))/(LN(2)/2)*CG168*CJ168*VLOOKUP('Données projet'!$B$12,Paramètres!$A$1:$I$89,3,0)*0.475*44/12</f>
        <v>9.0990592874448191E-20</v>
      </c>
      <c r="CN168" s="22">
        <f t="shared" si="172"/>
        <v>0.59023179752836497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191.77102466144095</v>
      </c>
      <c r="T169" s="59">
        <f t="shared" si="142"/>
        <v>205.57161411620217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0.42027481280840723</v>
      </c>
      <c r="AA169" s="21">
        <f>EXP(-LN(2)/25)*AA168+(1-EXP(-LN(2)/25))/(LN(2)/25)*Calculateur!V169*Calculateur!X169*VLOOKUP('Données projet'!$B$9,Paramètres!$A$1:$I$89,3,0)*0.475*44/12</f>
        <v>0.28404750197030676</v>
      </c>
      <c r="AB169" s="21">
        <f>EXP(-LN(2)/2)*AB168+(1-EXP(-LN(2)/2))/(LN(2)/2)*V169*Y169*VLOOKUP('Données projet'!$B$9,Paramètres!$A$1:$I$89,3,0)*0.475*44/12</f>
        <v>1.8450723445809251E-20</v>
      </c>
      <c r="AC169" s="22">
        <f t="shared" si="163"/>
        <v>0.70432231477871399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-4.5474735088646412E-13</v>
      </c>
      <c r="AJ169" s="13">
        <f>AI169*VLOOKUP('Données projet'!$B$10,Paramètres!$A$1:$I$89,3,0)*VLOOKUP('Données projet'!$B$10,Paramètres!$A$1:$I$89,5,0)</f>
        <v>-2.7193891583010558E-13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247.30892363953825</v>
      </c>
      <c r="AO169" s="59">
        <f t="shared" si="144"/>
        <v>248.38414731596578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0.3381065118861552</v>
      </c>
      <c r="AV169" s="21">
        <f>EXP(-LN(2)/25)*AV168+(1-EXP(-LN(2)/25))/(LN(2)/25)*Calculateur!AQ169*Calculateur!AS169*VLOOKUP('Données projet'!$B$10,Paramètres!$A$1:$I$89,3,0)*0.475*44/12</f>
        <v>0.2386531577410442</v>
      </c>
      <c r="AW169" s="21">
        <f>EXP(-LN(2)/2)*AW168+(1-EXP(-LN(2)/2))/(LN(2)/2)*AQ169*AT169*VLOOKUP('Données projet'!$B$10,Paramètres!$A$1:$I$89,3,0)*0.475*44/12</f>
        <v>6.4340065245706666E-20</v>
      </c>
      <c r="AX169" s="21">
        <f t="shared" si="166"/>
        <v>0.57675966962719938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-9.1631591203622526E-14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265.97106059040101</v>
      </c>
      <c r="BJ169" s="59">
        <f t="shared" si="146"/>
        <v>240.18718869578237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0.38988417578369722</v>
      </c>
      <c r="BQ169" s="21">
        <f>EXP(-LN(2)/25)*BQ168+(1-EXP(-LN(2)/25))/(LN(2)/25)*Calculateur!BL169*Calculateur!BN169*VLOOKUP('Données projet'!$B$11,Paramètres!$A$1:$I$89,3,0)*0.475*44/12</f>
        <v>0.26446342893456237</v>
      </c>
      <c r="BR169" s="21">
        <f>EXP(-LN(2)/2)*BR168+(1-EXP(-LN(2)/2))/(LN(2)/2)*BL169*BO169*VLOOKUP('Données projet'!$B$11,Paramètres!$A$1:$I$89,3,0)*0.475*44/12</f>
        <v>6.0601998623486651E-20</v>
      </c>
      <c r="BS169" s="22">
        <f t="shared" si="169"/>
        <v>0.65434760471825959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-4.5474735088646412E-13</v>
      </c>
      <c r="BZ169" s="13">
        <f>BY169*VLOOKUP('Données projet'!$B$12,Paramètres!$A$1:$I$89,3,0)*VLOOKUP('Données projet'!$B$12,Paramètres!$A$1:$I$89,5,0)</f>
        <v>-2.7193891583010558E-13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247.30892363953825</v>
      </c>
      <c r="CE169" s="59">
        <f t="shared" si="148"/>
        <v>248.38414731596578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0.3381065118861552</v>
      </c>
      <c r="CL169" s="21">
        <f>EXP(-LN(2)/25)*CL168+(1-EXP(-LN(2)/25))/(LN(2)/25)*Calculateur!CG169*Calculateur!CI169*VLOOKUP('Données projet'!$B$12,Paramètres!$A$1:$I$89,3,0)*0.475*44/12</f>
        <v>0.2386531577410442</v>
      </c>
      <c r="CM169" s="21">
        <f>EXP(-LN(2)/2)*CM168+(1-EXP(-LN(2)/2))/(LN(2)/2)*CG169*CJ169*VLOOKUP('Données projet'!$B$12,Paramètres!$A$1:$I$89,3,0)*0.475*44/12</f>
        <v>6.4340065245706666E-20</v>
      </c>
      <c r="CN169" s="22">
        <f t="shared" si="172"/>
        <v>0.57675966962719938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191.77102466144095</v>
      </c>
      <c r="T170" s="59">
        <f t="shared" si="142"/>
        <v>205.57161411620217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0.41203348007155849</v>
      </c>
      <c r="AA170" s="21">
        <f>EXP(-LN(2)/25)*AA169+(1-EXP(-LN(2)/25))/(LN(2)/25)*Calculateur!V170*Calculateur!X170*VLOOKUP('Données projet'!$B$9,Paramètres!$A$1:$I$89,3,0)*0.475*44/12</f>
        <v>0.27628020809151982</v>
      </c>
      <c r="AB170" s="21">
        <f>EXP(-LN(2)/2)*AB169+(1-EXP(-LN(2)/2))/(LN(2)/2)*V170*Y170*VLOOKUP('Données projet'!$B$9,Paramètres!$A$1:$I$89,3,0)*0.475*44/12</f>
        <v>1.3046631666329345E-20</v>
      </c>
      <c r="AC170" s="22">
        <f t="shared" si="163"/>
        <v>0.68831368816307825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-4.5474735088646412E-13</v>
      </c>
      <c r="AJ170" s="13">
        <f>AI170*VLOOKUP('Données projet'!$B$10,Paramètres!$A$1:$I$89,3,0)*VLOOKUP('Données projet'!$B$10,Paramètres!$A$1:$I$89,5,0)</f>
        <v>-2.7193891583010558E-13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247.30892363953825</v>
      </c>
      <c r="AO170" s="59">
        <f t="shared" si="144"/>
        <v>248.38414731596578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0.33147644941267695</v>
      </c>
      <c r="AV170" s="21">
        <f>EXP(-LN(2)/25)*AV169+(1-EXP(-LN(2)/25))/(LN(2)/25)*Calculateur!AQ170*Calculateur!AS170*VLOOKUP('Données projet'!$B$10,Paramètres!$A$1:$I$89,3,0)*0.475*44/12</f>
        <v>0.23212717459239124</v>
      </c>
      <c r="AW170" s="21">
        <f>EXP(-LN(2)/2)*AW169+(1-EXP(-LN(2)/2))/(LN(2)/2)*AQ170*AT170*VLOOKUP('Données projet'!$B$10,Paramètres!$A$1:$I$89,3,0)*0.475*44/12</f>
        <v>4.5495296437224095E-20</v>
      </c>
      <c r="AX170" s="21">
        <f t="shared" si="166"/>
        <v>0.56360362400506814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-9.1631591203622526E-14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265.97106059040101</v>
      </c>
      <c r="BJ170" s="59">
        <f t="shared" si="146"/>
        <v>240.18718869578237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0.38223878490244478</v>
      </c>
      <c r="BQ170" s="21">
        <f>EXP(-LN(2)/25)*BQ169+(1-EXP(-LN(2)/25))/(LN(2)/25)*Calculateur!BL170*Calculateur!BN170*VLOOKUP('Données projet'!$B$11,Paramètres!$A$1:$I$89,3,0)*0.475*44/12</f>
        <v>0.25723166256281949</v>
      </c>
      <c r="BR170" s="21">
        <f>EXP(-LN(2)/2)*BR169+(1-EXP(-LN(2)/2))/(LN(2)/2)*BL170*BO170*VLOOKUP('Données projet'!$B$11,Paramètres!$A$1:$I$89,3,0)*0.475*44/12</f>
        <v>4.285208418012523E-20</v>
      </c>
      <c r="BS170" s="22">
        <f t="shared" si="169"/>
        <v>0.63947044746526427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-4.5474735088646412E-13</v>
      </c>
      <c r="BZ170" s="13">
        <f>BY170*VLOOKUP('Données projet'!$B$12,Paramètres!$A$1:$I$89,3,0)*VLOOKUP('Données projet'!$B$12,Paramètres!$A$1:$I$89,5,0)</f>
        <v>-2.7193891583010558E-13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247.30892363953825</v>
      </c>
      <c r="CE170" s="59">
        <f t="shared" si="148"/>
        <v>248.38414731596578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0.33147644941267695</v>
      </c>
      <c r="CL170" s="21">
        <f>EXP(-LN(2)/25)*CL169+(1-EXP(-LN(2)/25))/(LN(2)/25)*Calculateur!CG170*Calculateur!CI170*VLOOKUP('Données projet'!$B$12,Paramètres!$A$1:$I$89,3,0)*0.475*44/12</f>
        <v>0.23212717459239124</v>
      </c>
      <c r="CM170" s="21">
        <f>EXP(-LN(2)/2)*CM169+(1-EXP(-LN(2)/2))/(LN(2)/2)*CG170*CJ170*VLOOKUP('Données projet'!$B$12,Paramètres!$A$1:$I$89,3,0)*0.475*44/12</f>
        <v>4.5495296437224095E-20</v>
      </c>
      <c r="CN170" s="22">
        <f t="shared" si="172"/>
        <v>0.56360362400506814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191.77102466144095</v>
      </c>
      <c r="T171" s="59">
        <f t="shared" si="142"/>
        <v>205.57161411620217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0.4039537548429627</v>
      </c>
      <c r="AA171" s="21">
        <f>EXP(-LN(2)/25)*AA170+(1-EXP(-LN(2)/25))/(LN(2)/25)*Calculateur!V171*Calculateur!X171*VLOOKUP('Données projet'!$B$9,Paramètres!$A$1:$I$89,3,0)*0.475*44/12</f>
        <v>0.26872531127231253</v>
      </c>
      <c r="AB171" s="21">
        <f>EXP(-LN(2)/2)*AB170+(1-EXP(-LN(2)/2))/(LN(2)/2)*V171*Y171*VLOOKUP('Données projet'!$B$9,Paramètres!$A$1:$I$89,3,0)*0.475*44/12</f>
        <v>9.2253617229046257E-21</v>
      </c>
      <c r="AC171" s="22">
        <f t="shared" si="163"/>
        <v>0.67267906611527528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-4.5474735088646412E-13</v>
      </c>
      <c r="AJ171" s="13">
        <f>AI171*VLOOKUP('Données projet'!$B$10,Paramètres!$A$1:$I$89,3,0)*VLOOKUP('Données projet'!$B$10,Paramètres!$A$1:$I$89,5,0)</f>
        <v>-2.7193891583010558E-13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247.30892363953825</v>
      </c>
      <c r="AO171" s="59">
        <f t="shared" si="144"/>
        <v>248.38414731596578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0.3249763984203648</v>
      </c>
      <c r="AV171" s="21">
        <f>EXP(-LN(2)/25)*AV170+(1-EXP(-LN(2)/25))/(LN(2)/25)*Calculateur!AQ171*Calculateur!AS171*VLOOKUP('Données projet'!$B$10,Paramètres!$A$1:$I$89,3,0)*0.475*44/12</f>
        <v>0.22577964479612472</v>
      </c>
      <c r="AW171" s="21">
        <f>EXP(-LN(2)/2)*AW170+(1-EXP(-LN(2)/2))/(LN(2)/2)*AQ171*AT171*VLOOKUP('Données projet'!$B$10,Paramètres!$A$1:$I$89,3,0)*0.475*44/12</f>
        <v>3.2170032622853333E-20</v>
      </c>
      <c r="AX171" s="21">
        <f t="shared" si="166"/>
        <v>0.55075604321648952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-9.1631591203622526E-14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265.97106059040101</v>
      </c>
      <c r="BJ171" s="59">
        <f t="shared" si="146"/>
        <v>240.18718869578237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0.37474331547314571</v>
      </c>
      <c r="BQ171" s="21">
        <f>EXP(-LN(2)/25)*BQ170+(1-EXP(-LN(2)/25))/(LN(2)/25)*Calculateur!BL171*Calculateur!BN171*VLOOKUP('Données projet'!$B$11,Paramètres!$A$1:$I$89,3,0)*0.475*44/12</f>
        <v>0.25019764922281396</v>
      </c>
      <c r="BR171" s="21">
        <f>EXP(-LN(2)/2)*BR170+(1-EXP(-LN(2)/2))/(LN(2)/2)*BL171*BO171*VLOOKUP('Données projet'!$B$11,Paramètres!$A$1:$I$89,3,0)*0.475*44/12</f>
        <v>3.0300999311743326E-20</v>
      </c>
      <c r="BS171" s="22">
        <f t="shared" si="169"/>
        <v>0.62494096469595961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-4.5474735088646412E-13</v>
      </c>
      <c r="BZ171" s="13">
        <f>BY171*VLOOKUP('Données projet'!$B$12,Paramètres!$A$1:$I$89,3,0)*VLOOKUP('Données projet'!$B$12,Paramètres!$A$1:$I$89,5,0)</f>
        <v>-2.7193891583010558E-13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247.30892363953825</v>
      </c>
      <c r="CE171" s="59">
        <f t="shared" si="148"/>
        <v>248.38414731596578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0.3249763984203648</v>
      </c>
      <c r="CL171" s="21">
        <f>EXP(-LN(2)/25)*CL170+(1-EXP(-LN(2)/25))/(LN(2)/25)*Calculateur!CG171*Calculateur!CI171*VLOOKUP('Données projet'!$B$12,Paramètres!$A$1:$I$89,3,0)*0.475*44/12</f>
        <v>0.22577964479612472</v>
      </c>
      <c r="CM171" s="21">
        <f>EXP(-LN(2)/2)*CM170+(1-EXP(-LN(2)/2))/(LN(2)/2)*CG171*CJ171*VLOOKUP('Données projet'!$B$12,Paramètres!$A$1:$I$89,3,0)*0.475*44/12</f>
        <v>3.2170032622853333E-20</v>
      </c>
      <c r="CN171" s="22">
        <f t="shared" si="172"/>
        <v>0.55075604321648952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191.77102466144095</v>
      </c>
      <c r="T172" s="59">
        <f t="shared" si="142"/>
        <v>205.57161411620217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0.39603246809795389</v>
      </c>
      <c r="AA172" s="21">
        <f>EXP(-LN(2)/25)*AA171+(1-EXP(-LN(2)/25))/(LN(2)/25)*Calculateur!V172*Calculateur!X172*VLOOKUP('Données projet'!$B$9,Paramètres!$A$1:$I$89,3,0)*0.475*44/12</f>
        <v>0.26137700350392118</v>
      </c>
      <c r="AB172" s="21">
        <f>EXP(-LN(2)/2)*AB171+(1-EXP(-LN(2)/2))/(LN(2)/2)*V172*Y172*VLOOKUP('Données projet'!$B$9,Paramètres!$A$1:$I$89,3,0)*0.475*44/12</f>
        <v>6.5233158331646723E-21</v>
      </c>
      <c r="AC172" s="22">
        <f t="shared" si="163"/>
        <v>0.65740947160187502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-4.5474735088646412E-13</v>
      </c>
      <c r="AJ172" s="13">
        <f>AI172*VLOOKUP('Données projet'!$B$10,Paramètres!$A$1:$I$89,3,0)*VLOOKUP('Données projet'!$B$10,Paramètres!$A$1:$I$89,5,0)</f>
        <v>-2.7193891583010558E-13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247.30892363953825</v>
      </c>
      <c r="AO172" s="59">
        <f t="shared" si="144"/>
        <v>248.38414731596578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0.3186038094633723</v>
      </c>
      <c r="AV172" s="21">
        <f>EXP(-LN(2)/25)*AV171+(1-EXP(-LN(2)/25))/(LN(2)/25)*Calculateur!AQ172*Calculateur!AS172*VLOOKUP('Données projet'!$B$10,Paramètres!$A$1:$I$89,3,0)*0.475*44/12</f>
        <v>0.2196056885359392</v>
      </c>
      <c r="AW172" s="21">
        <f>EXP(-LN(2)/2)*AW171+(1-EXP(-LN(2)/2))/(LN(2)/2)*AQ172*AT172*VLOOKUP('Données projet'!$B$10,Paramètres!$A$1:$I$89,3,0)*0.475*44/12</f>
        <v>2.2747648218612048E-20</v>
      </c>
      <c r="AX172" s="21">
        <f t="shared" si="166"/>
        <v>0.5382094979993115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-9.1631591203622526E-14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265.97106059040101</v>
      </c>
      <c r="BJ172" s="59">
        <f t="shared" si="146"/>
        <v>240.18718869578237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0.36739482762757025</v>
      </c>
      <c r="BQ172" s="21">
        <f>EXP(-LN(2)/25)*BQ171+(1-EXP(-LN(2)/25))/(LN(2)/25)*Calculateur!BL172*Calculateur!BN172*VLOOKUP('Données projet'!$B$11,Paramètres!$A$1:$I$89,3,0)*0.475*44/12</f>
        <v>0.24335598134749356</v>
      </c>
      <c r="BR172" s="21">
        <f>EXP(-LN(2)/2)*BR171+(1-EXP(-LN(2)/2))/(LN(2)/2)*BL172*BO172*VLOOKUP('Données projet'!$B$11,Paramètres!$A$1:$I$89,3,0)*0.475*44/12</f>
        <v>2.1426042090062615E-20</v>
      </c>
      <c r="BS172" s="22">
        <f t="shared" si="169"/>
        <v>0.61075080897506384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-4.5474735088646412E-13</v>
      </c>
      <c r="BZ172" s="13">
        <f>BY172*VLOOKUP('Données projet'!$B$12,Paramètres!$A$1:$I$89,3,0)*VLOOKUP('Données projet'!$B$12,Paramètres!$A$1:$I$89,5,0)</f>
        <v>-2.7193891583010558E-13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247.30892363953825</v>
      </c>
      <c r="CE172" s="59">
        <f t="shared" si="148"/>
        <v>248.38414731596578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0.3186038094633723</v>
      </c>
      <c r="CL172" s="21">
        <f>EXP(-LN(2)/25)*CL171+(1-EXP(-LN(2)/25))/(LN(2)/25)*Calculateur!CG172*Calculateur!CI172*VLOOKUP('Données projet'!$B$12,Paramètres!$A$1:$I$89,3,0)*0.475*44/12</f>
        <v>0.2196056885359392</v>
      </c>
      <c r="CM172" s="21">
        <f>EXP(-LN(2)/2)*CM171+(1-EXP(-LN(2)/2))/(LN(2)/2)*CG172*CJ172*VLOOKUP('Données projet'!$B$12,Paramètres!$A$1:$I$89,3,0)*0.475*44/12</f>
        <v>2.2747648218612048E-20</v>
      </c>
      <c r="CN172" s="22">
        <f t="shared" si="172"/>
        <v>0.5382094979993115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191.77102466144095</v>
      </c>
      <c r="T173" s="59">
        <f t="shared" si="142"/>
        <v>205.57161411620217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0.38826651295450687</v>
      </c>
      <c r="AA173" s="21">
        <f>EXP(-LN(2)/25)*AA172+(1-EXP(-LN(2)/25))/(LN(2)/25)*Calculateur!V173*Calculateur!X173*VLOOKUP('Données projet'!$B$9,Paramètres!$A$1:$I$89,3,0)*0.475*44/12</f>
        <v>0.25422963559788725</v>
      </c>
      <c r="AB173" s="21">
        <f>EXP(-LN(2)/2)*AB172+(1-EXP(-LN(2)/2))/(LN(2)/2)*V173*Y173*VLOOKUP('Données projet'!$B$9,Paramètres!$A$1:$I$89,3,0)*0.475*44/12</f>
        <v>4.6126808614523128E-21</v>
      </c>
      <c r="AC173" s="22">
        <f t="shared" si="163"/>
        <v>0.64249614855239412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-4.5474735088646412E-13</v>
      </c>
      <c r="AJ173" s="13">
        <f>AI173*VLOOKUP('Données projet'!$B$10,Paramètres!$A$1:$I$89,3,0)*VLOOKUP('Données projet'!$B$10,Paramètres!$A$1:$I$89,5,0)</f>
        <v>-2.7193891583010558E-13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247.30892363953825</v>
      </c>
      <c r="AO173" s="59">
        <f t="shared" si="144"/>
        <v>248.38414731596578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0.31235618308893093</v>
      </c>
      <c r="AV173" s="21">
        <f>EXP(-LN(2)/25)*AV172+(1-EXP(-LN(2)/25))/(LN(2)/25)*Calculateur!AQ173*Calculateur!AS173*VLOOKUP('Données projet'!$B$10,Paramètres!$A$1:$I$89,3,0)*0.475*44/12</f>
        <v>0.21360055943436271</v>
      </c>
      <c r="AW173" s="21">
        <f>EXP(-LN(2)/2)*AW172+(1-EXP(-LN(2)/2))/(LN(2)/2)*AQ173*AT173*VLOOKUP('Données projet'!$B$10,Paramètres!$A$1:$I$89,3,0)*0.475*44/12</f>
        <v>1.6085016311426666E-20</v>
      </c>
      <c r="AX173" s="21">
        <f t="shared" si="166"/>
        <v>0.52595674252329361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-9.1631591203622526E-14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265.97106059040101</v>
      </c>
      <c r="BJ173" s="59">
        <f t="shared" si="146"/>
        <v>240.18718869578237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0.36019043914651155</v>
      </c>
      <c r="BQ173" s="21">
        <f>EXP(-LN(2)/25)*BQ172+(1-EXP(-LN(2)/25))/(LN(2)/25)*Calculateur!BL173*Calculateur!BN173*VLOOKUP('Données projet'!$B$11,Paramètres!$A$1:$I$89,3,0)*0.475*44/12</f>
        <v>0.23670139924001149</v>
      </c>
      <c r="BR173" s="21">
        <f>EXP(-LN(2)/2)*BR172+(1-EXP(-LN(2)/2))/(LN(2)/2)*BL173*BO173*VLOOKUP('Données projet'!$B$11,Paramètres!$A$1:$I$89,3,0)*0.475*44/12</f>
        <v>1.5150499655871663E-20</v>
      </c>
      <c r="BS173" s="22">
        <f t="shared" si="169"/>
        <v>0.59689183838652304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-4.5474735088646412E-13</v>
      </c>
      <c r="BZ173" s="13">
        <f>BY173*VLOOKUP('Données projet'!$B$12,Paramètres!$A$1:$I$89,3,0)*VLOOKUP('Données projet'!$B$12,Paramètres!$A$1:$I$89,5,0)</f>
        <v>-2.7193891583010558E-13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247.30892363953825</v>
      </c>
      <c r="CE173" s="59">
        <f t="shared" si="148"/>
        <v>248.38414731596578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0.31235618308893093</v>
      </c>
      <c r="CL173" s="21">
        <f>EXP(-LN(2)/25)*CL172+(1-EXP(-LN(2)/25))/(LN(2)/25)*Calculateur!CG173*Calculateur!CI173*VLOOKUP('Données projet'!$B$12,Paramètres!$A$1:$I$89,3,0)*0.475*44/12</f>
        <v>0.21360055943436271</v>
      </c>
      <c r="CM173" s="21">
        <f>EXP(-LN(2)/2)*CM172+(1-EXP(-LN(2)/2))/(LN(2)/2)*CG173*CJ173*VLOOKUP('Données projet'!$B$12,Paramètres!$A$1:$I$89,3,0)*0.475*44/12</f>
        <v>1.6085016311426666E-20</v>
      </c>
      <c r="CN173" s="22">
        <f t="shared" si="172"/>
        <v>0.52595674252329361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191.77102466144095</v>
      </c>
      <c r="T174" s="59">
        <f t="shared" si="142"/>
        <v>205.57161411620217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0.38065284345465794</v>
      </c>
      <c r="AA174" s="21">
        <f>EXP(-LN(2)/25)*AA173+(1-EXP(-LN(2)/25))/(LN(2)/25)*Calculateur!V174*Calculateur!X174*VLOOKUP('Données projet'!$B$9,Paramètres!$A$1:$I$89,3,0)*0.475*44/12</f>
        <v>0.24727771284310754</v>
      </c>
      <c r="AB174" s="21">
        <f>EXP(-LN(2)/2)*AB173+(1-EXP(-LN(2)/2))/(LN(2)/2)*V174*Y174*VLOOKUP('Données projet'!$B$9,Paramètres!$A$1:$I$89,3,0)*0.475*44/12</f>
        <v>3.2616579165823361E-21</v>
      </c>
      <c r="AC174" s="22">
        <f t="shared" si="163"/>
        <v>0.62793055629776551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-4.5474735088646412E-13</v>
      </c>
      <c r="AJ174" s="13">
        <f>AI174*VLOOKUP('Données projet'!$B$10,Paramètres!$A$1:$I$89,3,0)*VLOOKUP('Données projet'!$B$10,Paramètres!$A$1:$I$89,5,0)</f>
        <v>-2.7193891583010558E-13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247.30892363953825</v>
      </c>
      <c r="AO174" s="59">
        <f t="shared" si="144"/>
        <v>248.38414731596578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0.30623106885701656</v>
      </c>
      <c r="AV174" s="21">
        <f>EXP(-LN(2)/25)*AV173+(1-EXP(-LN(2)/25))/(LN(2)/25)*Calculateur!AQ174*Calculateur!AS174*VLOOKUP('Données projet'!$B$10,Paramètres!$A$1:$I$89,3,0)*0.475*44/12</f>
        <v>0.20775964090386484</v>
      </c>
      <c r="AW174" s="21">
        <f>EXP(-LN(2)/2)*AW173+(1-EXP(-LN(2)/2))/(LN(2)/2)*AQ174*AT174*VLOOKUP('Données projet'!$B$10,Paramètres!$A$1:$I$89,3,0)*0.475*44/12</f>
        <v>1.1373824109306024E-20</v>
      </c>
      <c r="AX174" s="21">
        <f t="shared" si="166"/>
        <v>0.51399070976088135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-9.1631591203622526E-14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265.97106059040101</v>
      </c>
      <c r="BJ174" s="59">
        <f t="shared" si="146"/>
        <v>240.18718869578237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0.35312732432932331</v>
      </c>
      <c r="BQ174" s="21">
        <f>EXP(-LN(2)/25)*BQ173+(1-EXP(-LN(2)/25))/(LN(2)/25)*Calculateur!BL174*Calculateur!BN174*VLOOKUP('Données projet'!$B$11,Paramètres!$A$1:$I$89,3,0)*0.475*44/12</f>
        <v>0.23022878703020777</v>
      </c>
      <c r="BR174" s="21">
        <f>EXP(-LN(2)/2)*BR173+(1-EXP(-LN(2)/2))/(LN(2)/2)*BL174*BO174*VLOOKUP('Données projet'!$B$11,Paramètres!$A$1:$I$89,3,0)*0.475*44/12</f>
        <v>1.0713021045031308E-20</v>
      </c>
      <c r="BS174" s="22">
        <f t="shared" si="169"/>
        <v>0.58335611135953114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-4.5474735088646412E-13</v>
      </c>
      <c r="BZ174" s="13">
        <f>BY174*VLOOKUP('Données projet'!$B$12,Paramètres!$A$1:$I$89,3,0)*VLOOKUP('Données projet'!$B$12,Paramètres!$A$1:$I$89,5,0)</f>
        <v>-2.7193891583010558E-13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247.30892363953825</v>
      </c>
      <c r="CE174" s="59">
        <f t="shared" si="148"/>
        <v>248.38414731596578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0.30623106885701656</v>
      </c>
      <c r="CL174" s="21">
        <f>EXP(-LN(2)/25)*CL173+(1-EXP(-LN(2)/25))/(LN(2)/25)*Calculateur!CG174*Calculateur!CI174*VLOOKUP('Données projet'!$B$12,Paramètres!$A$1:$I$89,3,0)*0.475*44/12</f>
        <v>0.20775964090386484</v>
      </c>
      <c r="CM174" s="21">
        <f>EXP(-LN(2)/2)*CM173+(1-EXP(-LN(2)/2))/(LN(2)/2)*CG174*CJ174*VLOOKUP('Données projet'!$B$12,Paramètres!$A$1:$I$89,3,0)*0.475*44/12</f>
        <v>1.1373824109306024E-20</v>
      </c>
      <c r="CN174" s="22">
        <f t="shared" si="172"/>
        <v>0.51399070976088135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191.77102466144095</v>
      </c>
      <c r="T175" s="59">
        <f t="shared" si="142"/>
        <v>205.57161411620217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0.37318847336982119</v>
      </c>
      <c r="AA175" s="21">
        <f>EXP(-LN(2)/25)*AA174+(1-EXP(-LN(2)/25))/(LN(2)/25)*Calculateur!V175*Calculateur!X175*VLOOKUP('Données projet'!$B$9,Paramètres!$A$1:$I$89,3,0)*0.475*44/12</f>
        <v>0.24051589078164301</v>
      </c>
      <c r="AB175" s="21">
        <f>EXP(-LN(2)/2)*AB174+(1-EXP(-LN(2)/2))/(LN(2)/2)*V175*Y175*VLOOKUP('Données projet'!$B$9,Paramètres!$A$1:$I$89,3,0)*0.475*44/12</f>
        <v>2.3063404307261564E-21</v>
      </c>
      <c r="AC175" s="22">
        <f t="shared" si="163"/>
        <v>0.61370436415146423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-4.5474735088646412E-13</v>
      </c>
      <c r="AJ175" s="13">
        <f>AI175*VLOOKUP('Données projet'!$B$10,Paramètres!$A$1:$I$89,3,0)*VLOOKUP('Données projet'!$B$10,Paramètres!$A$1:$I$89,5,0)</f>
        <v>-2.7193891583010558E-13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247.30892363953825</v>
      </c>
      <c r="AO175" s="59">
        <f t="shared" si="144"/>
        <v>248.38414731596578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0.30022606437923921</v>
      </c>
      <c r="AV175" s="21">
        <f>EXP(-LN(2)/25)*AV174+(1-EXP(-LN(2)/25))/(LN(2)/25)*Calculateur!AQ175*Calculateur!AS175*VLOOKUP('Données projet'!$B$10,Paramètres!$A$1:$I$89,3,0)*0.475*44/12</f>
        <v>0.20207844259774399</v>
      </c>
      <c r="AW175" s="21">
        <f>EXP(-LN(2)/2)*AW174+(1-EXP(-LN(2)/2))/(LN(2)/2)*AQ175*AT175*VLOOKUP('Données projet'!$B$10,Paramètres!$A$1:$I$89,3,0)*0.475*44/12</f>
        <v>8.0425081557133332E-21</v>
      </c>
      <c r="AX175" s="21">
        <f t="shared" si="166"/>
        <v>0.50230450697698314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-9.1631591203622526E-14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265.97106059040101</v>
      </c>
      <c r="BJ175" s="59">
        <f t="shared" si="146"/>
        <v>240.18718869578237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0.34620271288562549</v>
      </c>
      <c r="BQ175" s="21">
        <f>EXP(-LN(2)/25)*BQ174+(1-EXP(-LN(2)/25))/(LN(2)/25)*Calculateur!BL175*Calculateur!BN175*VLOOKUP('Données projet'!$B$11,Paramètres!$A$1:$I$89,3,0)*0.475*44/12</f>
        <v>0.22393316874166103</v>
      </c>
      <c r="BR175" s="21">
        <f>EXP(-LN(2)/2)*BR174+(1-EXP(-LN(2)/2))/(LN(2)/2)*BL175*BO175*VLOOKUP('Données projet'!$B$11,Paramètres!$A$1:$I$89,3,0)*0.475*44/12</f>
        <v>7.5752498279358314E-21</v>
      </c>
      <c r="BS175" s="22">
        <f t="shared" si="169"/>
        <v>0.57013588162728657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-4.5474735088646412E-13</v>
      </c>
      <c r="BZ175" s="13">
        <f>BY175*VLOOKUP('Données projet'!$B$12,Paramètres!$A$1:$I$89,3,0)*VLOOKUP('Données projet'!$B$12,Paramètres!$A$1:$I$89,5,0)</f>
        <v>-2.7193891583010558E-13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247.30892363953825</v>
      </c>
      <c r="CE175" s="59">
        <f t="shared" si="148"/>
        <v>248.38414731596578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0.30022606437923921</v>
      </c>
      <c r="CL175" s="21">
        <f>EXP(-LN(2)/25)*CL174+(1-EXP(-LN(2)/25))/(LN(2)/25)*Calculateur!CG175*Calculateur!CI175*VLOOKUP('Données projet'!$B$12,Paramètres!$A$1:$I$89,3,0)*0.475*44/12</f>
        <v>0.20207844259774399</v>
      </c>
      <c r="CM175" s="21">
        <f>EXP(-LN(2)/2)*CM174+(1-EXP(-LN(2)/2))/(LN(2)/2)*CG175*CJ175*VLOOKUP('Données projet'!$B$12,Paramètres!$A$1:$I$89,3,0)*0.475*44/12</f>
        <v>8.0425081557133332E-21</v>
      </c>
      <c r="CN175" s="22">
        <f t="shared" si="172"/>
        <v>0.50230450697698314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191.77102466144095</v>
      </c>
      <c r="T176" s="59">
        <f t="shared" si="142"/>
        <v>205.57161411620217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0.36587047502953191</v>
      </c>
      <c r="AA176" s="21">
        <f>EXP(-LN(2)/25)*AA175+(1-EXP(-LN(2)/25))/(LN(2)/25)*Calculateur!V176*Calculateur!X176*VLOOKUP('Données projet'!$B$9,Paramètres!$A$1:$I$89,3,0)*0.475*44/12</f>
        <v>0.233938971100038</v>
      </c>
      <c r="AB176" s="21">
        <f>EXP(-LN(2)/2)*AB175+(1-EXP(-LN(2)/2))/(LN(2)/2)*V176*Y176*VLOOKUP('Données projet'!$B$9,Paramètres!$A$1:$I$89,3,0)*0.475*44/12</f>
        <v>1.6308289582911681E-21</v>
      </c>
      <c r="AC176" s="22">
        <f t="shared" si="163"/>
        <v>0.59980944612956988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-4.5474735088646412E-13</v>
      </c>
      <c r="AJ176" s="13">
        <f>AI176*VLOOKUP('Données projet'!$B$10,Paramètres!$A$1:$I$89,3,0)*VLOOKUP('Données projet'!$B$10,Paramètres!$A$1:$I$89,5,0)</f>
        <v>-2.7193891583010558E-13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247.30892363953825</v>
      </c>
      <c r="AO176" s="59">
        <f t="shared" si="144"/>
        <v>248.38414731596578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0.29433881437657999</v>
      </c>
      <c r="AV176" s="21">
        <f>EXP(-LN(2)/25)*AV175+(1-EXP(-LN(2)/25))/(LN(2)/25)*Calculateur!AQ176*Calculateur!AS176*VLOOKUP('Données projet'!$B$10,Paramètres!$A$1:$I$89,3,0)*0.475*44/12</f>
        <v>0.19655259695806523</v>
      </c>
      <c r="AW176" s="21">
        <f>EXP(-LN(2)/2)*AW175+(1-EXP(-LN(2)/2))/(LN(2)/2)*AQ176*AT176*VLOOKUP('Données projet'!$B$10,Paramètres!$A$1:$I$89,3,0)*0.475*44/12</f>
        <v>5.6869120546530119E-21</v>
      </c>
      <c r="AX176" s="21">
        <f t="shared" si="166"/>
        <v>0.4908914113346452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-9.1631591203622526E-14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265.97106059040101</v>
      </c>
      <c r="BJ176" s="59">
        <f t="shared" si="146"/>
        <v>240.18718869578237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0.33941388884874263</v>
      </c>
      <c r="BQ176" s="21">
        <f>EXP(-LN(2)/25)*BQ175+(1-EXP(-LN(2)/25))/(LN(2)/25)*Calculateur!BL176*Calculateur!BN176*VLOOKUP('Données projet'!$B$11,Paramètres!$A$1:$I$89,3,0)*0.475*44/12</f>
        <v>0.21780970446628678</v>
      </c>
      <c r="BR176" s="21">
        <f>EXP(-LN(2)/2)*BR175+(1-EXP(-LN(2)/2))/(LN(2)/2)*BL176*BO176*VLOOKUP('Données projet'!$B$11,Paramètres!$A$1:$I$89,3,0)*0.475*44/12</f>
        <v>5.3565105225156538E-21</v>
      </c>
      <c r="BS176" s="22">
        <f t="shared" si="169"/>
        <v>0.55722359331502935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-4.5474735088646412E-13</v>
      </c>
      <c r="BZ176" s="13">
        <f>BY176*VLOOKUP('Données projet'!$B$12,Paramètres!$A$1:$I$89,3,0)*VLOOKUP('Données projet'!$B$12,Paramètres!$A$1:$I$89,5,0)</f>
        <v>-2.7193891583010558E-13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247.30892363953825</v>
      </c>
      <c r="CE176" s="59">
        <f t="shared" si="148"/>
        <v>248.38414731596578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0.29433881437657999</v>
      </c>
      <c r="CL176" s="21">
        <f>EXP(-LN(2)/25)*CL175+(1-EXP(-LN(2)/25))/(LN(2)/25)*Calculateur!CG176*Calculateur!CI176*VLOOKUP('Données projet'!$B$12,Paramètres!$A$1:$I$89,3,0)*0.475*44/12</f>
        <v>0.19655259695806523</v>
      </c>
      <c r="CM176" s="21">
        <f>EXP(-LN(2)/2)*CM175+(1-EXP(-LN(2)/2))/(LN(2)/2)*CG176*CJ176*VLOOKUP('Données projet'!$B$12,Paramètres!$A$1:$I$89,3,0)*0.475*44/12</f>
        <v>5.6869120546530119E-21</v>
      </c>
      <c r="CN176" s="22">
        <f t="shared" si="172"/>
        <v>0.4908914113346452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191.77102466144095</v>
      </c>
      <c r="T177" s="59">
        <f t="shared" si="142"/>
        <v>205.57161411620217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0.35869597817315746</v>
      </c>
      <c r="AA177" s="21">
        <f>EXP(-LN(2)/25)*AA176+(1-EXP(-LN(2)/25))/(LN(2)/25)*Calculateur!V177*Calculateur!X177*VLOOKUP('Données projet'!$B$9,Paramètres!$A$1:$I$89,3,0)*0.475*44/12</f>
        <v>0.22754189763299165</v>
      </c>
      <c r="AB177" s="21">
        <f>EXP(-LN(2)/2)*AB176+(1-EXP(-LN(2)/2))/(LN(2)/2)*V177*Y177*VLOOKUP('Données projet'!$B$9,Paramètres!$A$1:$I$89,3,0)*0.475*44/12</f>
        <v>1.1531702153630782E-21</v>
      </c>
      <c r="AC177" s="22">
        <f t="shared" si="163"/>
        <v>0.58623787580614906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-4.5474735088646412E-13</v>
      </c>
      <c r="AJ177" s="13">
        <f>AI177*VLOOKUP('Données projet'!$B$10,Paramètres!$A$1:$I$89,3,0)*VLOOKUP('Données projet'!$B$10,Paramètres!$A$1:$I$89,5,0)</f>
        <v>-2.7193891583010558E-13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247.30892363953825</v>
      </c>
      <c r="AO177" s="59">
        <f t="shared" si="144"/>
        <v>248.38414731596578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0.28856700975560501</v>
      </c>
      <c r="AV177" s="21">
        <f>EXP(-LN(2)/25)*AV176+(1-EXP(-LN(2)/25))/(LN(2)/25)*Calculateur!AQ177*Calculateur!AS177*VLOOKUP('Données projet'!$B$10,Paramètres!$A$1:$I$89,3,0)*0.475*44/12</f>
        <v>0.1911778558579951</v>
      </c>
      <c r="AW177" s="21">
        <f>EXP(-LN(2)/2)*AW176+(1-EXP(-LN(2)/2))/(LN(2)/2)*AQ177*AT177*VLOOKUP('Données projet'!$B$10,Paramètres!$A$1:$I$89,3,0)*0.475*44/12</f>
        <v>4.0212540778566666E-21</v>
      </c>
      <c r="AX177" s="21">
        <f t="shared" si="166"/>
        <v>0.47974486561360008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-9.1631591203622526E-14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265.97106059040101</v>
      </c>
      <c r="BJ177" s="59">
        <f t="shared" si="146"/>
        <v>240.18718869578237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0.33275818951044928</v>
      </c>
      <c r="BQ177" s="21">
        <f>EXP(-LN(2)/25)*BQ176+(1-EXP(-LN(2)/25))/(LN(2)/25)*Calculateur!BL177*Calculateur!BN177*VLOOKUP('Données projet'!$B$11,Paramètres!$A$1:$I$89,3,0)*0.475*44/12</f>
        <v>0.21185368664354162</v>
      </c>
      <c r="BR177" s="21">
        <f>EXP(-LN(2)/2)*BR176+(1-EXP(-LN(2)/2))/(LN(2)/2)*BL177*BO177*VLOOKUP('Données projet'!$B$11,Paramètres!$A$1:$I$89,3,0)*0.475*44/12</f>
        <v>3.7876249139679157E-21</v>
      </c>
      <c r="BS177" s="22">
        <f t="shared" si="169"/>
        <v>0.54461187615399087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-4.5474735088646412E-13</v>
      </c>
      <c r="BZ177" s="13">
        <f>BY177*VLOOKUP('Données projet'!$B$12,Paramètres!$A$1:$I$89,3,0)*VLOOKUP('Données projet'!$B$12,Paramètres!$A$1:$I$89,5,0)</f>
        <v>-2.7193891583010558E-13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247.30892363953825</v>
      </c>
      <c r="CE177" s="59">
        <f t="shared" si="148"/>
        <v>248.38414731596578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0.28856700975560501</v>
      </c>
      <c r="CL177" s="21">
        <f>EXP(-LN(2)/25)*CL176+(1-EXP(-LN(2)/25))/(LN(2)/25)*Calculateur!CG177*Calculateur!CI177*VLOOKUP('Données projet'!$B$12,Paramètres!$A$1:$I$89,3,0)*0.475*44/12</f>
        <v>0.1911778558579951</v>
      </c>
      <c r="CM177" s="21">
        <f>EXP(-LN(2)/2)*CM176+(1-EXP(-LN(2)/2))/(LN(2)/2)*CG177*CJ177*VLOOKUP('Données projet'!$B$12,Paramètres!$A$1:$I$89,3,0)*0.475*44/12</f>
        <v>4.0212540778566666E-21</v>
      </c>
      <c r="CN177" s="22">
        <f t="shared" si="172"/>
        <v>0.47974486561360008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191.77102466144095</v>
      </c>
      <c r="T178" s="59">
        <f t="shared" si="142"/>
        <v>205.57161411620217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0.35166216882412549</v>
      </c>
      <c r="AA178" s="21">
        <f>EXP(-LN(2)/25)*AA177+(1-EXP(-LN(2)/25))/(LN(2)/25)*Calculateur!V178*Calculateur!X178*VLOOKUP('Données projet'!$B$9,Paramètres!$A$1:$I$89,3,0)*0.475*44/12</f>
        <v>0.22131975247630914</v>
      </c>
      <c r="AB178" s="21">
        <f>EXP(-LN(2)/2)*AB177+(1-EXP(-LN(2)/2))/(LN(2)/2)*V178*Y178*VLOOKUP('Données projet'!$B$9,Paramètres!$A$1:$I$89,3,0)*0.475*44/12</f>
        <v>8.1541447914558404E-22</v>
      </c>
      <c r="AC178" s="22">
        <f t="shared" si="163"/>
        <v>0.57298192130043457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-4.5474735088646412E-13</v>
      </c>
      <c r="AJ178" s="13">
        <f>AI178*VLOOKUP('Données projet'!$B$10,Paramètres!$A$1:$I$89,3,0)*VLOOKUP('Données projet'!$B$10,Paramètres!$A$1:$I$89,5,0)</f>
        <v>-2.7193891583010558E-13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247.30892363953825</v>
      </c>
      <c r="AO178" s="59">
        <f t="shared" si="144"/>
        <v>248.38414731596578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0.28290838670279417</v>
      </c>
      <c r="AV178" s="21">
        <f>EXP(-LN(2)/25)*AV177+(1-EXP(-LN(2)/25))/(LN(2)/25)*Calculateur!AQ178*Calculateur!AS178*VLOOKUP('Données projet'!$B$10,Paramètres!$A$1:$I$89,3,0)*0.475*44/12</f>
        <v>0.18595008733595172</v>
      </c>
      <c r="AW178" s="21">
        <f>EXP(-LN(2)/2)*AW177+(1-EXP(-LN(2)/2))/(LN(2)/2)*AQ178*AT178*VLOOKUP('Données projet'!$B$10,Paramètres!$A$1:$I$89,3,0)*0.475*44/12</f>
        <v>2.843456027326506E-21</v>
      </c>
      <c r="AX178" s="21">
        <f t="shared" si="166"/>
        <v>0.46885847403874592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-9.1631591203622526E-14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265.97106059040101</v>
      </c>
      <c r="BJ178" s="59">
        <f t="shared" si="146"/>
        <v>240.18718869578237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0.32623300437660407</v>
      </c>
      <c r="BQ178" s="21">
        <f>EXP(-LN(2)/25)*BQ177+(1-EXP(-LN(2)/25))/(LN(2)/25)*Calculateur!BL178*Calculateur!BN178*VLOOKUP('Données projet'!$B$11,Paramètres!$A$1:$I$89,3,0)*0.475*44/12</f>
        <v>0.20606053644137279</v>
      </c>
      <c r="BR178" s="21">
        <f>EXP(-LN(2)/2)*BR177+(1-EXP(-LN(2)/2))/(LN(2)/2)*BL178*BO178*VLOOKUP('Données projet'!$B$11,Paramètres!$A$1:$I$89,3,0)*0.475*44/12</f>
        <v>2.6782552612578269E-21</v>
      </c>
      <c r="BS178" s="22">
        <f t="shared" si="169"/>
        <v>0.53229354081797686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-4.5474735088646412E-13</v>
      </c>
      <c r="BZ178" s="13">
        <f>BY178*VLOOKUP('Données projet'!$B$12,Paramètres!$A$1:$I$89,3,0)*VLOOKUP('Données projet'!$B$12,Paramètres!$A$1:$I$89,5,0)</f>
        <v>-2.7193891583010558E-13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247.30892363953825</v>
      </c>
      <c r="CE178" s="59">
        <f t="shared" si="148"/>
        <v>248.38414731596578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0.28290838670279417</v>
      </c>
      <c r="CL178" s="21">
        <f>EXP(-LN(2)/25)*CL177+(1-EXP(-LN(2)/25))/(LN(2)/25)*Calculateur!CG178*Calculateur!CI178*VLOOKUP('Données projet'!$B$12,Paramètres!$A$1:$I$89,3,0)*0.475*44/12</f>
        <v>0.18595008733595172</v>
      </c>
      <c r="CM178" s="21">
        <f>EXP(-LN(2)/2)*CM177+(1-EXP(-LN(2)/2))/(LN(2)/2)*CG178*CJ178*VLOOKUP('Données projet'!$B$12,Paramètres!$A$1:$I$89,3,0)*0.475*44/12</f>
        <v>2.843456027326506E-21</v>
      </c>
      <c r="CN178" s="22">
        <f t="shared" si="172"/>
        <v>0.46885847403874592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191.77102466144095</v>
      </c>
      <c r="T179" s="59">
        <f t="shared" si="142"/>
        <v>205.57161411620217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0.34476628818622795</v>
      </c>
      <c r="AA179" s="21">
        <f>EXP(-LN(2)/25)*AA178+(1-EXP(-LN(2)/25))/(LN(2)/25)*Calculateur!V179*Calculateur!X179*VLOOKUP('Données projet'!$B$9,Paramètres!$A$1:$I$89,3,0)*0.475*44/12</f>
        <v>0.21526775220614452</v>
      </c>
      <c r="AB179" s="21">
        <f>EXP(-LN(2)/2)*AB178+(1-EXP(-LN(2)/2))/(LN(2)/2)*V179*Y179*VLOOKUP('Données projet'!$B$9,Paramètres!$A$1:$I$89,3,0)*0.475*44/12</f>
        <v>5.765851076815391E-22</v>
      </c>
      <c r="AC179" s="22">
        <f t="shared" si="163"/>
        <v>0.56003404039237248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-4.5474735088646412E-13</v>
      </c>
      <c r="AJ179" s="13">
        <f>AI179*VLOOKUP('Données projet'!$B$10,Paramètres!$A$1:$I$89,3,0)*VLOOKUP('Données projet'!$B$10,Paramètres!$A$1:$I$89,5,0)</f>
        <v>-2.7193891583010558E-13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247.30892363953825</v>
      </c>
      <c r="AO179" s="59">
        <f t="shared" si="144"/>
        <v>248.38414731596578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0.27736072579662968</v>
      </c>
      <c r="AV179" s="21">
        <f>EXP(-LN(2)/25)*AV178+(1-EXP(-LN(2)/25))/(LN(2)/25)*Calculateur!AQ179*Calculateur!AS179*VLOOKUP('Données projet'!$B$10,Paramètres!$A$1:$I$89,3,0)*0.475*44/12</f>
        <v>0.18086527241906003</v>
      </c>
      <c r="AW179" s="21">
        <f>EXP(-LN(2)/2)*AW178+(1-EXP(-LN(2)/2))/(LN(2)/2)*AQ179*AT179*VLOOKUP('Données projet'!$B$10,Paramètres!$A$1:$I$89,3,0)*0.475*44/12</f>
        <v>2.0106270389283333E-21</v>
      </c>
      <c r="AX179" s="21">
        <f t="shared" si="166"/>
        <v>0.45822599821568971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-9.1631591203622526E-14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265.97106059040101</v>
      </c>
      <c r="BJ179" s="59">
        <f t="shared" si="146"/>
        <v>240.18718869578237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0.31983577414326364</v>
      </c>
      <c r="BQ179" s="21">
        <f>EXP(-LN(2)/25)*BQ178+(1-EXP(-LN(2)/25))/(LN(2)/25)*Calculateur!BL179*Calculateur!BN179*VLOOKUP('Données projet'!$B$11,Paramètres!$A$1:$I$89,3,0)*0.475*44/12</f>
        <v>0.2004258002361308</v>
      </c>
      <c r="BR179" s="21">
        <f>EXP(-LN(2)/2)*BR178+(1-EXP(-LN(2)/2))/(LN(2)/2)*BL179*BO179*VLOOKUP('Données projet'!$B$11,Paramètres!$A$1:$I$89,3,0)*0.475*44/12</f>
        <v>1.8938124569839579E-21</v>
      </c>
      <c r="BS179" s="22">
        <f t="shared" si="169"/>
        <v>0.52026157437939446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-4.5474735088646412E-13</v>
      </c>
      <c r="BZ179" s="13">
        <f>BY179*VLOOKUP('Données projet'!$B$12,Paramètres!$A$1:$I$89,3,0)*VLOOKUP('Données projet'!$B$12,Paramètres!$A$1:$I$89,5,0)</f>
        <v>-2.7193891583010558E-13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247.30892363953825</v>
      </c>
      <c r="CE179" s="59">
        <f t="shared" si="148"/>
        <v>248.38414731596578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0.27736072579662968</v>
      </c>
      <c r="CL179" s="21">
        <f>EXP(-LN(2)/25)*CL178+(1-EXP(-LN(2)/25))/(LN(2)/25)*Calculateur!CG179*Calculateur!CI179*VLOOKUP('Données projet'!$B$12,Paramètres!$A$1:$I$89,3,0)*0.475*44/12</f>
        <v>0.18086527241906003</v>
      </c>
      <c r="CM179" s="21">
        <f>EXP(-LN(2)/2)*CM178+(1-EXP(-LN(2)/2))/(LN(2)/2)*CG179*CJ179*VLOOKUP('Données projet'!$B$12,Paramètres!$A$1:$I$89,3,0)*0.475*44/12</f>
        <v>2.0106270389283333E-21</v>
      </c>
      <c r="CN179" s="22">
        <f t="shared" si="172"/>
        <v>0.45822599821568971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191.77102466144095</v>
      </c>
      <c r="T180" s="59">
        <f t="shared" si="142"/>
        <v>205.57161411620217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0.33800563156156771</v>
      </c>
      <c r="AA180" s="21">
        <f>EXP(-LN(2)/25)*AA179+(1-EXP(-LN(2)/25))/(LN(2)/25)*Calculateur!V180*Calculateur!X180*VLOOKUP('Données projet'!$B$9,Paramètres!$A$1:$I$89,3,0)*0.475*44/12</f>
        <v>0.2093812442016284</v>
      </c>
      <c r="AB180" s="21">
        <f>EXP(-LN(2)/2)*AB179+(1-EXP(-LN(2)/2))/(LN(2)/2)*V180*Y180*VLOOKUP('Données projet'!$B$9,Paramètres!$A$1:$I$89,3,0)*0.475*44/12</f>
        <v>4.0770723957279202E-22</v>
      </c>
      <c r="AC180" s="22">
        <f t="shared" si="163"/>
        <v>0.54738687576319611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-4.5474735088646412E-13</v>
      </c>
      <c r="AJ180" s="13">
        <f>AI180*VLOOKUP('Données projet'!$B$10,Paramètres!$A$1:$I$89,3,0)*VLOOKUP('Données projet'!$B$10,Paramètres!$A$1:$I$89,5,0)</f>
        <v>-2.7193891583010558E-13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247.30892363953825</v>
      </c>
      <c r="AO180" s="59">
        <f t="shared" si="144"/>
        <v>248.38414731596578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0.27192185113709605</v>
      </c>
      <c r="AV180" s="21">
        <f>EXP(-LN(2)/25)*AV179+(1-EXP(-LN(2)/25))/(LN(2)/25)*Calculateur!AQ180*Calculateur!AS180*VLOOKUP('Données projet'!$B$10,Paramètres!$A$1:$I$89,3,0)*0.475*44/12</f>
        <v>0.17591950203346954</v>
      </c>
      <c r="AW180" s="21">
        <f>EXP(-LN(2)/2)*AW179+(1-EXP(-LN(2)/2))/(LN(2)/2)*AQ180*AT180*VLOOKUP('Données projet'!$B$10,Paramètres!$A$1:$I$89,3,0)*0.475*44/12</f>
        <v>1.421728013663253E-21</v>
      </c>
      <c r="AX180" s="21">
        <f t="shared" si="166"/>
        <v>0.44784135317056561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-9.1631591203622526E-14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265.97106059040101</v>
      </c>
      <c r="BJ180" s="59">
        <f t="shared" si="146"/>
        <v>240.18718869578237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0.31356398969287386</v>
      </c>
      <c r="BQ180" s="21">
        <f>EXP(-LN(2)/25)*BQ179+(1-EXP(-LN(2)/25))/(LN(2)/25)*Calculateur!BL180*Calculateur!BN180*VLOOKUP('Données projet'!$B$11,Paramètres!$A$1:$I$89,3,0)*0.475*44/12</f>
        <v>0.19494514618873904</v>
      </c>
      <c r="BR180" s="21">
        <f>EXP(-LN(2)/2)*BR179+(1-EXP(-LN(2)/2))/(LN(2)/2)*BL180*BO180*VLOOKUP('Données projet'!$B$11,Paramètres!$A$1:$I$89,3,0)*0.475*44/12</f>
        <v>1.3391276306289135E-21</v>
      </c>
      <c r="BS180" s="22">
        <f t="shared" si="169"/>
        <v>0.50850913588161295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-4.5474735088646412E-13</v>
      </c>
      <c r="BZ180" s="13">
        <f>BY180*VLOOKUP('Données projet'!$B$12,Paramètres!$A$1:$I$89,3,0)*VLOOKUP('Données projet'!$B$12,Paramètres!$A$1:$I$89,5,0)</f>
        <v>-2.7193891583010558E-13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247.30892363953825</v>
      </c>
      <c r="CE180" s="59">
        <f t="shared" si="148"/>
        <v>248.38414731596578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0.27192185113709605</v>
      </c>
      <c r="CL180" s="21">
        <f>EXP(-LN(2)/25)*CL179+(1-EXP(-LN(2)/25))/(LN(2)/25)*Calculateur!CG180*Calculateur!CI180*VLOOKUP('Données projet'!$B$12,Paramètres!$A$1:$I$89,3,0)*0.475*44/12</f>
        <v>0.17591950203346954</v>
      </c>
      <c r="CM180" s="21">
        <f>EXP(-LN(2)/2)*CM179+(1-EXP(-LN(2)/2))/(LN(2)/2)*CG180*CJ180*VLOOKUP('Données projet'!$B$12,Paramètres!$A$1:$I$89,3,0)*0.475*44/12</f>
        <v>1.421728013663253E-21</v>
      </c>
      <c r="CN180" s="22">
        <f t="shared" si="172"/>
        <v>0.44784135317056561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191.77102466144095</v>
      </c>
      <c r="T181" s="59">
        <f t="shared" si="142"/>
        <v>205.57161411620217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0.33137754728972368</v>
      </c>
      <c r="AA181" s="21">
        <f>EXP(-LN(2)/25)*AA180+(1-EXP(-LN(2)/25))/(LN(2)/25)*Calculateur!V181*Calculateur!X181*VLOOKUP('Données projet'!$B$9,Paramètres!$A$1:$I$89,3,0)*0.475*44/12</f>
        <v>0.20365570306805378</v>
      </c>
      <c r="AB181" s="21">
        <f>EXP(-LN(2)/2)*AB180+(1-EXP(-LN(2)/2))/(LN(2)/2)*V181*Y181*VLOOKUP('Données projet'!$B$9,Paramètres!$A$1:$I$89,3,0)*0.475*44/12</f>
        <v>2.8829255384076955E-22</v>
      </c>
      <c r="AC181" s="22">
        <f t="shared" si="163"/>
        <v>0.53503325035777749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-4.5474735088646412E-13</v>
      </c>
      <c r="AJ181" s="13">
        <f>AI181*VLOOKUP('Données projet'!$B$10,Paramètres!$A$1:$I$89,3,0)*VLOOKUP('Données projet'!$B$10,Paramètres!$A$1:$I$89,5,0)</f>
        <v>-2.7193891583010558E-13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247.30892363953825</v>
      </c>
      <c r="AO181" s="59">
        <f t="shared" si="144"/>
        <v>248.38414731596578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0.26658962949224985</v>
      </c>
      <c r="AV181" s="21">
        <f>EXP(-LN(2)/25)*AV180+(1-EXP(-LN(2)/25))/(LN(2)/25)*Calculateur!AQ181*Calculateur!AS181*VLOOKUP('Données projet'!$B$10,Paramètres!$A$1:$I$89,3,0)*0.475*44/12</f>
        <v>0.17110897399915978</v>
      </c>
      <c r="AW181" s="21">
        <f>EXP(-LN(2)/2)*AW180+(1-EXP(-LN(2)/2))/(LN(2)/2)*AQ181*AT181*VLOOKUP('Données projet'!$B$10,Paramètres!$A$1:$I$89,3,0)*0.475*44/12</f>
        <v>1.0053135194641667E-21</v>
      </c>
      <c r="AX181" s="21">
        <f t="shared" si="166"/>
        <v>0.43769860349140965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-9.1631591203622526E-14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265.97106059040101</v>
      </c>
      <c r="BJ181" s="59">
        <f t="shared" si="146"/>
        <v>240.18718869578237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0.30741519111014542</v>
      </c>
      <c r="BQ181" s="21">
        <f>EXP(-LN(2)/25)*BQ180+(1-EXP(-LN(2)/25))/(LN(2)/25)*Calculateur!BL181*Calculateur!BN181*VLOOKUP('Données projet'!$B$11,Paramètres!$A$1:$I$89,3,0)*0.475*44/12</f>
        <v>0.18961436091448827</v>
      </c>
      <c r="BR181" s="21">
        <f>EXP(-LN(2)/2)*BR180+(1-EXP(-LN(2)/2))/(LN(2)/2)*BL181*BO181*VLOOKUP('Données projet'!$B$11,Paramètres!$A$1:$I$89,3,0)*0.475*44/12</f>
        <v>9.4690622849197893E-22</v>
      </c>
      <c r="BS181" s="22">
        <f t="shared" si="169"/>
        <v>0.49702955202463373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-4.5474735088646412E-13</v>
      </c>
      <c r="BZ181" s="13">
        <f>BY181*VLOOKUP('Données projet'!$B$12,Paramètres!$A$1:$I$89,3,0)*VLOOKUP('Données projet'!$B$12,Paramètres!$A$1:$I$89,5,0)</f>
        <v>-2.7193891583010558E-13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247.30892363953825</v>
      </c>
      <c r="CE181" s="59">
        <f t="shared" si="148"/>
        <v>248.38414731596578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0.26658962949224985</v>
      </c>
      <c r="CL181" s="21">
        <f>EXP(-LN(2)/25)*CL180+(1-EXP(-LN(2)/25))/(LN(2)/25)*Calculateur!CG181*Calculateur!CI181*VLOOKUP('Données projet'!$B$12,Paramètres!$A$1:$I$89,3,0)*0.475*44/12</f>
        <v>0.17110897399915978</v>
      </c>
      <c r="CM181" s="21">
        <f>EXP(-LN(2)/2)*CM180+(1-EXP(-LN(2)/2))/(LN(2)/2)*CG181*CJ181*VLOOKUP('Données projet'!$B$12,Paramètres!$A$1:$I$89,3,0)*0.475*44/12</f>
        <v>1.0053135194641667E-21</v>
      </c>
      <c r="CN181" s="22">
        <f t="shared" si="172"/>
        <v>0.43769860349140965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191.77102466144095</v>
      </c>
      <c r="T182" s="59">
        <f t="shared" si="142"/>
        <v>205.57161411620217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0.32487943570771832</v>
      </c>
      <c r="AA182" s="21">
        <f>EXP(-LN(2)/25)*AA181+(1-EXP(-LN(2)/25))/(LN(2)/25)*Calculateur!V182*Calculateur!X182*VLOOKUP('Données projet'!$B$9,Paramètres!$A$1:$I$89,3,0)*0.475*44/12</f>
        <v>0.19808672715786987</v>
      </c>
      <c r="AB182" s="21">
        <f>EXP(-LN(2)/2)*AB181+(1-EXP(-LN(2)/2))/(LN(2)/2)*V182*Y182*VLOOKUP('Données projet'!$B$9,Paramètres!$A$1:$I$89,3,0)*0.475*44/12</f>
        <v>2.0385361978639601E-22</v>
      </c>
      <c r="AC182" s="22">
        <f t="shared" si="163"/>
        <v>0.52296616286558817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-4.5474735088646412E-13</v>
      </c>
      <c r="AJ182" s="13">
        <f>AI182*VLOOKUP('Données projet'!$B$10,Paramètres!$A$1:$I$89,3,0)*VLOOKUP('Données projet'!$B$10,Paramètres!$A$1:$I$89,5,0)</f>
        <v>-2.7193891583010558E-13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247.30892363953825</v>
      </c>
      <c r="AO182" s="59">
        <f t="shared" si="144"/>
        <v>248.38414731596578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0.26136196946152507</v>
      </c>
      <c r="AV182" s="21">
        <f>EXP(-LN(2)/25)*AV181+(1-EXP(-LN(2)/25))/(LN(2)/25)*Calculateur!AQ182*Calculateur!AS182*VLOOKUP('Données projet'!$B$10,Paramètres!$A$1:$I$89,3,0)*0.475*44/12</f>
        <v>0.16642999010692289</v>
      </c>
      <c r="AW182" s="21">
        <f>EXP(-LN(2)/2)*AW181+(1-EXP(-LN(2)/2))/(LN(2)/2)*AQ182*AT182*VLOOKUP('Données projet'!$B$10,Paramètres!$A$1:$I$89,3,0)*0.475*44/12</f>
        <v>7.1086400683162649E-22</v>
      </c>
      <c r="AX182" s="21">
        <f t="shared" si="166"/>
        <v>0.42779195956844795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-9.1631591203622526E-14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265.97106059040101</v>
      </c>
      <c r="BJ182" s="59">
        <f t="shared" si="146"/>
        <v>240.18718869578237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0.30138696671722748</v>
      </c>
      <c r="BQ182" s="21">
        <f>EXP(-LN(2)/25)*BQ181+(1-EXP(-LN(2)/25))/(LN(2)/25)*Calculateur!BL182*Calculateur!BN182*VLOOKUP('Données projet'!$B$11,Paramètres!$A$1:$I$89,3,0)*0.475*44/12</f>
        <v>0.18442934624389573</v>
      </c>
      <c r="BR182" s="21">
        <f>EXP(-LN(2)/2)*BR181+(1-EXP(-LN(2)/2))/(LN(2)/2)*BL182*BO182*VLOOKUP('Données projet'!$B$11,Paramètres!$A$1:$I$89,3,0)*0.475*44/12</f>
        <v>6.6956381531445673E-22</v>
      </c>
      <c r="BS182" s="22">
        <f t="shared" si="169"/>
        <v>0.48581631296112321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-4.5474735088646412E-13</v>
      </c>
      <c r="BZ182" s="13">
        <f>BY182*VLOOKUP('Données projet'!$B$12,Paramètres!$A$1:$I$89,3,0)*VLOOKUP('Données projet'!$B$12,Paramètres!$A$1:$I$89,5,0)</f>
        <v>-2.7193891583010558E-13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247.30892363953825</v>
      </c>
      <c r="CE182" s="59">
        <f t="shared" si="148"/>
        <v>248.38414731596578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0.26136196946152507</v>
      </c>
      <c r="CL182" s="21">
        <f>EXP(-LN(2)/25)*CL181+(1-EXP(-LN(2)/25))/(LN(2)/25)*Calculateur!CG182*Calculateur!CI182*VLOOKUP('Données projet'!$B$12,Paramètres!$A$1:$I$89,3,0)*0.475*44/12</f>
        <v>0.16642999010692289</v>
      </c>
      <c r="CM182" s="21">
        <f>EXP(-LN(2)/2)*CM181+(1-EXP(-LN(2)/2))/(LN(2)/2)*CG182*CJ182*VLOOKUP('Données projet'!$B$12,Paramètres!$A$1:$I$89,3,0)*0.475*44/12</f>
        <v>7.1086400683162649E-22</v>
      </c>
      <c r="CN182" s="22">
        <f t="shared" si="172"/>
        <v>0.42779195956844795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191.77102466144095</v>
      </c>
      <c r="T183" s="59">
        <f t="shared" si="142"/>
        <v>205.57161411620217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0.31850874813037938</v>
      </c>
      <c r="AA183" s="21">
        <f>EXP(-LN(2)/25)*AA182+(1-EXP(-LN(2)/25))/(LN(2)/25)*Calculateur!V183*Calculateur!X183*VLOOKUP('Données projet'!$B$9,Paramètres!$A$1:$I$89,3,0)*0.475*44/12</f>
        <v>0.19267003518680967</v>
      </c>
      <c r="AB183" s="21">
        <f>EXP(-LN(2)/2)*AB182+(1-EXP(-LN(2)/2))/(LN(2)/2)*V183*Y183*VLOOKUP('Données projet'!$B$9,Paramètres!$A$1:$I$89,3,0)*0.475*44/12</f>
        <v>1.4414627692038478E-22</v>
      </c>
      <c r="AC183" s="22">
        <f t="shared" si="163"/>
        <v>0.51117878331718902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-4.5474735088646412E-13</v>
      </c>
      <c r="AJ183" s="13">
        <f>AI183*VLOOKUP('Données projet'!$B$10,Paramètres!$A$1:$I$89,3,0)*VLOOKUP('Données projet'!$B$10,Paramètres!$A$1:$I$89,5,0)</f>
        <v>-2.7193891583010558E-13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247.30892363953825</v>
      </c>
      <c r="AO183" s="59">
        <f t="shared" si="144"/>
        <v>248.38414731596578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0.25623682065544501</v>
      </c>
      <c r="AV183" s="21">
        <f>EXP(-LN(2)/25)*AV182+(1-EXP(-LN(2)/25))/(LN(2)/25)*Calculateur!AQ183*Calculateur!AS183*VLOOKUP('Données projet'!$B$10,Paramètres!$A$1:$I$89,3,0)*0.475*44/12</f>
        <v>0.16187895327527629</v>
      </c>
      <c r="AW183" s="21">
        <f>EXP(-LN(2)/2)*AW182+(1-EXP(-LN(2)/2))/(LN(2)/2)*AQ183*AT183*VLOOKUP('Données projet'!$B$10,Paramètres!$A$1:$I$89,3,0)*0.475*44/12</f>
        <v>5.0265675973208333E-22</v>
      </c>
      <c r="AX183" s="21">
        <f t="shared" si="166"/>
        <v>0.4181157739307213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-9.1631591203622526E-14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265.97106059040101</v>
      </c>
      <c r="BJ183" s="59">
        <f t="shared" si="146"/>
        <v>240.18718869578237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0.29547695212780084</v>
      </c>
      <c r="BQ183" s="21">
        <f>EXP(-LN(2)/25)*BQ182+(1-EXP(-LN(2)/25))/(LN(2)/25)*Calculateur!BL183*Calculateur!BN183*VLOOKUP('Données projet'!$B$11,Paramètres!$A$1:$I$89,3,0)*0.475*44/12</f>
        <v>0.17938611607213861</v>
      </c>
      <c r="BR183" s="21">
        <f>EXP(-LN(2)/2)*BR182+(1-EXP(-LN(2)/2))/(LN(2)/2)*BL183*BO183*VLOOKUP('Données projet'!$B$11,Paramètres!$A$1:$I$89,3,0)*0.475*44/12</f>
        <v>4.7345311424598946E-22</v>
      </c>
      <c r="BS183" s="22">
        <f t="shared" si="169"/>
        <v>0.47486306819993945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-4.5474735088646412E-13</v>
      </c>
      <c r="BZ183" s="13">
        <f>BY183*VLOOKUP('Données projet'!$B$12,Paramètres!$A$1:$I$89,3,0)*VLOOKUP('Données projet'!$B$12,Paramètres!$A$1:$I$89,5,0)</f>
        <v>-2.7193891583010558E-13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247.30892363953825</v>
      </c>
      <c r="CE183" s="59">
        <f t="shared" si="148"/>
        <v>248.38414731596578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0.25623682065544501</v>
      </c>
      <c r="CL183" s="21">
        <f>EXP(-LN(2)/25)*CL182+(1-EXP(-LN(2)/25))/(LN(2)/25)*Calculateur!CG183*Calculateur!CI183*VLOOKUP('Données projet'!$B$12,Paramètres!$A$1:$I$89,3,0)*0.475*44/12</f>
        <v>0.16187895327527629</v>
      </c>
      <c r="CM183" s="21">
        <f>EXP(-LN(2)/2)*CM182+(1-EXP(-LN(2)/2))/(LN(2)/2)*CG183*CJ183*VLOOKUP('Données projet'!$B$12,Paramètres!$A$1:$I$89,3,0)*0.475*44/12</f>
        <v>5.0265675973208333E-22</v>
      </c>
      <c r="CN183" s="22">
        <f t="shared" si="172"/>
        <v>0.4181157739307213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191.77102466144095</v>
      </c>
      <c r="T184" s="59">
        <f t="shared" si="142"/>
        <v>205.57161411620217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0.31226298585069634</v>
      </c>
      <c r="AA184" s="21">
        <f>EXP(-LN(2)/25)*AA183+(1-EXP(-LN(2)/25))/(LN(2)/25)*Calculateur!V184*Calculateur!X184*VLOOKUP('Données projet'!$B$9,Paramètres!$A$1:$I$89,3,0)*0.475*44/12</f>
        <v>0.18740146294254956</v>
      </c>
      <c r="AB184" s="21">
        <f>EXP(-LN(2)/2)*AB183+(1-EXP(-LN(2)/2))/(LN(2)/2)*V184*Y184*VLOOKUP('Données projet'!$B$9,Paramètres!$A$1:$I$89,3,0)*0.475*44/12</f>
        <v>1.01926809893198E-22</v>
      </c>
      <c r="AC184" s="22">
        <f t="shared" si="163"/>
        <v>0.4996644487932459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-4.5474735088646412E-13</v>
      </c>
      <c r="AJ184" s="13">
        <f>AI184*VLOOKUP('Données projet'!$B$10,Paramètres!$A$1:$I$89,3,0)*VLOOKUP('Données projet'!$B$10,Paramètres!$A$1:$I$89,5,0)</f>
        <v>-2.7193891583010558E-13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247.30892363953825</v>
      </c>
      <c r="AO184" s="59">
        <f t="shared" si="144"/>
        <v>248.38414731596578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0.25121217289142006</v>
      </c>
      <c r="AV184" s="21">
        <f>EXP(-LN(2)/25)*AV183+(1-EXP(-LN(2)/25))/(LN(2)/25)*Calculateur!AQ184*Calculateur!AS184*VLOOKUP('Données projet'!$B$10,Paramètres!$A$1:$I$89,3,0)*0.475*44/12</f>
        <v>0.1574523647851197</v>
      </c>
      <c r="AW184" s="21">
        <f>EXP(-LN(2)/2)*AW183+(1-EXP(-LN(2)/2))/(LN(2)/2)*AQ184*AT184*VLOOKUP('Données projet'!$B$10,Paramètres!$A$1:$I$89,3,0)*0.475*44/12</f>
        <v>3.5543200341581325E-22</v>
      </c>
      <c r="AX184" s="21">
        <f t="shared" si="166"/>
        <v>0.40866453767653976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-9.1631591203622526E-14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265.97106059040101</v>
      </c>
      <c r="BJ184" s="59">
        <f t="shared" si="146"/>
        <v>240.18718869578237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0.28968282931971989</v>
      </c>
      <c r="BQ184" s="21">
        <f>EXP(-LN(2)/25)*BQ183+(1-EXP(-LN(2)/25))/(LN(2)/25)*Calculateur!BL184*Calculateur!BN184*VLOOKUP('Données projet'!$B$11,Paramètres!$A$1:$I$89,3,0)*0.475*44/12</f>
        <v>0.17448079329464014</v>
      </c>
      <c r="BR184" s="21">
        <f>EXP(-LN(2)/2)*BR183+(1-EXP(-LN(2)/2))/(LN(2)/2)*BL184*BO184*VLOOKUP('Données projet'!$B$11,Paramètres!$A$1:$I$89,3,0)*0.475*44/12</f>
        <v>3.3478190765722836E-22</v>
      </c>
      <c r="BS184" s="22">
        <f t="shared" si="169"/>
        <v>0.46416362261436006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-4.5474735088646412E-13</v>
      </c>
      <c r="BZ184" s="13">
        <f>BY184*VLOOKUP('Données projet'!$B$12,Paramètres!$A$1:$I$89,3,0)*VLOOKUP('Données projet'!$B$12,Paramètres!$A$1:$I$89,5,0)</f>
        <v>-2.7193891583010558E-13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247.30892363953825</v>
      </c>
      <c r="CE184" s="59">
        <f t="shared" si="148"/>
        <v>248.38414731596578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0.25121217289142006</v>
      </c>
      <c r="CL184" s="21">
        <f>EXP(-LN(2)/25)*CL183+(1-EXP(-LN(2)/25))/(LN(2)/25)*Calculateur!CG184*Calculateur!CI184*VLOOKUP('Données projet'!$B$12,Paramètres!$A$1:$I$89,3,0)*0.475*44/12</f>
        <v>0.1574523647851197</v>
      </c>
      <c r="CM184" s="21">
        <f>EXP(-LN(2)/2)*CM183+(1-EXP(-LN(2)/2))/(LN(2)/2)*CG184*CJ184*VLOOKUP('Données projet'!$B$12,Paramètres!$A$1:$I$89,3,0)*0.475*44/12</f>
        <v>3.5543200341581325E-22</v>
      </c>
      <c r="CN184" s="22">
        <f t="shared" si="172"/>
        <v>0.40866453767653976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191.77102466144095</v>
      </c>
      <c r="T185" s="59">
        <f t="shared" si="142"/>
        <v>205.57161411620217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0.30613969915977901</v>
      </c>
      <c r="AA185" s="21">
        <f>EXP(-LN(2)/25)*AA184+(1-EXP(-LN(2)/25))/(LN(2)/25)*Calculateur!V185*Calculateur!X185*VLOOKUP('Données projet'!$B$9,Paramètres!$A$1:$I$89,3,0)*0.475*44/12</f>
        <v>0.18227696008337091</v>
      </c>
      <c r="AB185" s="21">
        <f>EXP(-LN(2)/2)*AB184+(1-EXP(-LN(2)/2))/(LN(2)/2)*V185*Y185*VLOOKUP('Données projet'!$B$9,Paramètres!$A$1:$I$89,3,0)*0.475*44/12</f>
        <v>7.2073138460192388E-23</v>
      </c>
      <c r="AC185" s="22">
        <f t="shared" si="163"/>
        <v>0.48841665924314992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-4.5474735088646412E-13</v>
      </c>
      <c r="AJ185" s="13">
        <f>AI185*VLOOKUP('Données projet'!$B$10,Paramètres!$A$1:$I$89,3,0)*VLOOKUP('Données projet'!$B$10,Paramètres!$A$1:$I$89,5,0)</f>
        <v>-2.7193891583010558E-13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247.30892363953825</v>
      </c>
      <c r="AO185" s="59">
        <f t="shared" si="144"/>
        <v>248.38414731596578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0.24628605540531515</v>
      </c>
      <c r="AV185" s="21">
        <f>EXP(-LN(2)/25)*AV184+(1-EXP(-LN(2)/25))/(LN(2)/25)*Calculateur!AQ185*Calculateur!AS185*VLOOKUP('Données projet'!$B$10,Paramètres!$A$1:$I$89,3,0)*0.475*44/12</f>
        <v>0.15314682159001061</v>
      </c>
      <c r="AW185" s="21">
        <f>EXP(-LN(2)/2)*AW184+(1-EXP(-LN(2)/2))/(LN(2)/2)*AQ185*AT185*VLOOKUP('Données projet'!$B$10,Paramètres!$A$1:$I$89,3,0)*0.475*44/12</f>
        <v>2.5132837986604166E-22</v>
      </c>
      <c r="AX185" s="21">
        <f t="shared" si="166"/>
        <v>0.39943287699532576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-9.1631591203622526E-14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265.97106059040101</v>
      </c>
      <c r="BJ185" s="59">
        <f t="shared" si="146"/>
        <v>240.18718869578237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0.2840023257258395</v>
      </c>
      <c r="BQ185" s="21">
        <f>EXP(-LN(2)/25)*BQ184+(1-EXP(-LN(2)/25))/(LN(2)/25)*Calculateur!BL185*Calculateur!BN185*VLOOKUP('Données projet'!$B$11,Paramètres!$A$1:$I$89,3,0)*0.475*44/12</f>
        <v>0.16970960682645206</v>
      </c>
      <c r="BR185" s="21">
        <f>EXP(-LN(2)/2)*BR184+(1-EXP(-LN(2)/2))/(LN(2)/2)*BL185*BO185*VLOOKUP('Données projet'!$B$11,Paramètres!$A$1:$I$89,3,0)*0.475*44/12</f>
        <v>2.3672655712299473E-22</v>
      </c>
      <c r="BS185" s="22">
        <f t="shared" si="169"/>
        <v>0.45371193255229159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-4.5474735088646412E-13</v>
      </c>
      <c r="BZ185" s="13">
        <f>BY185*VLOOKUP('Données projet'!$B$12,Paramètres!$A$1:$I$89,3,0)*VLOOKUP('Données projet'!$B$12,Paramètres!$A$1:$I$89,5,0)</f>
        <v>-2.7193891583010558E-13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247.30892363953825</v>
      </c>
      <c r="CE185" s="59">
        <f t="shared" si="148"/>
        <v>248.38414731596578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0.24628605540531515</v>
      </c>
      <c r="CL185" s="21">
        <f>EXP(-LN(2)/25)*CL184+(1-EXP(-LN(2)/25))/(LN(2)/25)*Calculateur!CG185*Calculateur!CI185*VLOOKUP('Données projet'!$B$12,Paramètres!$A$1:$I$89,3,0)*0.475*44/12</f>
        <v>0.15314682159001061</v>
      </c>
      <c r="CM185" s="21">
        <f>EXP(-LN(2)/2)*CM184+(1-EXP(-LN(2)/2))/(LN(2)/2)*CG185*CJ185*VLOOKUP('Données projet'!$B$12,Paramètres!$A$1:$I$89,3,0)*0.475*44/12</f>
        <v>2.5132837986604166E-22</v>
      </c>
      <c r="CN185" s="22">
        <f t="shared" si="172"/>
        <v>0.39943287699532576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191.77102466144095</v>
      </c>
      <c r="T186" s="59">
        <f t="shared" si="142"/>
        <v>205.57161411620217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0.30013648638603452</v>
      </c>
      <c r="AA186" s="21">
        <f>EXP(-LN(2)/25)*AA185+(1-EXP(-LN(2)/25))/(LN(2)/25)*Calculateur!V186*Calculateur!X186*VLOOKUP('Données projet'!$B$9,Paramètres!$A$1:$I$89,3,0)*0.475*44/12</f>
        <v>0.1772925870243624</v>
      </c>
      <c r="AB186" s="21">
        <f>EXP(-LN(2)/2)*AB185+(1-EXP(-LN(2)/2))/(LN(2)/2)*V186*Y186*VLOOKUP('Données projet'!$B$9,Paramètres!$A$1:$I$89,3,0)*0.475*44/12</f>
        <v>5.0963404946599002E-23</v>
      </c>
      <c r="AC186" s="22">
        <f t="shared" si="163"/>
        <v>0.47742907341039692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-4.5474735088646412E-13</v>
      </c>
      <c r="AJ186" s="13">
        <f>AI186*VLOOKUP('Données projet'!$B$10,Paramètres!$A$1:$I$89,3,0)*VLOOKUP('Données projet'!$B$10,Paramètres!$A$1:$I$89,5,0)</f>
        <v>-2.7193891583010558E-13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247.30892363953825</v>
      </c>
      <c r="AO186" s="59">
        <f t="shared" si="144"/>
        <v>248.38414731596578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0.24145653607847775</v>
      </c>
      <c r="AV186" s="21">
        <f>EXP(-LN(2)/25)*AV185+(1-EXP(-LN(2)/25))/(LN(2)/25)*Calculateur!AQ186*Calculateur!AS186*VLOOKUP('Données projet'!$B$10,Paramètres!$A$1:$I$89,3,0)*0.475*44/12</f>
        <v>0.14895901369999046</v>
      </c>
      <c r="AW186" s="21">
        <f>EXP(-LN(2)/2)*AW185+(1-EXP(-LN(2)/2))/(LN(2)/2)*AQ186*AT186*VLOOKUP('Données projet'!$B$10,Paramètres!$A$1:$I$89,3,0)*0.475*44/12</f>
        <v>1.7771600170790662E-22</v>
      </c>
      <c r="AX186" s="21">
        <f t="shared" si="166"/>
        <v>0.39041554977846821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-9.1631591203622526E-14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265.97106059040101</v>
      </c>
      <c r="BJ186" s="59">
        <f t="shared" si="146"/>
        <v>240.18718869578237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0.27843321334267002</v>
      </c>
      <c r="BQ186" s="21">
        <f>EXP(-LN(2)/25)*BQ185+(1-EXP(-LN(2)/25))/(LN(2)/25)*Calculateur!BL186*Calculateur!BN186*VLOOKUP('Données projet'!$B$11,Paramètres!$A$1:$I$89,3,0)*0.475*44/12</f>
        <v>0.16506888870314237</v>
      </c>
      <c r="BR186" s="21">
        <f>EXP(-LN(2)/2)*BR185+(1-EXP(-LN(2)/2))/(LN(2)/2)*BL186*BO186*VLOOKUP('Données projet'!$B$11,Paramètres!$A$1:$I$89,3,0)*0.475*44/12</f>
        <v>1.6739095382861418E-22</v>
      </c>
      <c r="BS186" s="22">
        <f t="shared" si="169"/>
        <v>0.44350210204581242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-4.5474735088646412E-13</v>
      </c>
      <c r="BZ186" s="13">
        <f>BY186*VLOOKUP('Données projet'!$B$12,Paramètres!$A$1:$I$89,3,0)*VLOOKUP('Données projet'!$B$12,Paramètres!$A$1:$I$89,5,0)</f>
        <v>-2.7193891583010558E-13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247.30892363953825</v>
      </c>
      <c r="CE186" s="59">
        <f t="shared" si="148"/>
        <v>248.38414731596578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0.24145653607847775</v>
      </c>
      <c r="CL186" s="21">
        <f>EXP(-LN(2)/25)*CL185+(1-EXP(-LN(2)/25))/(LN(2)/25)*Calculateur!CG186*Calculateur!CI186*VLOOKUP('Données projet'!$B$12,Paramètres!$A$1:$I$89,3,0)*0.475*44/12</f>
        <v>0.14895901369999046</v>
      </c>
      <c r="CM186" s="21">
        <f>EXP(-LN(2)/2)*CM185+(1-EXP(-LN(2)/2))/(LN(2)/2)*CG186*CJ186*VLOOKUP('Données projet'!$B$12,Paramètres!$A$1:$I$89,3,0)*0.475*44/12</f>
        <v>1.7771600170790662E-22</v>
      </c>
      <c r="CN186" s="22">
        <f t="shared" si="172"/>
        <v>0.39041554977846821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191.77102466144095</v>
      </c>
      <c r="T187" s="59">
        <f t="shared" si="142"/>
        <v>205.57161411620217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0.29425099295318491</v>
      </c>
      <c r="AA187" s="21">
        <f>EXP(-LN(2)/25)*AA186+(1-EXP(-LN(2)/25))/(LN(2)/25)*Calculateur!V187*Calculateur!X187*VLOOKUP('Données projet'!$B$9,Paramètres!$A$1:$I$89,3,0)*0.475*44/12</f>
        <v>0.17244451190876928</v>
      </c>
      <c r="AB187" s="21">
        <f>EXP(-LN(2)/2)*AB186+(1-EXP(-LN(2)/2))/(LN(2)/2)*V187*Y187*VLOOKUP('Données projet'!$B$9,Paramètres!$A$1:$I$89,3,0)*0.475*44/12</f>
        <v>3.6036569230096194E-23</v>
      </c>
      <c r="AC187" s="22">
        <f t="shared" si="163"/>
        <v>0.46669550486195421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-4.5474735088646412E-13</v>
      </c>
      <c r="AJ187" s="13">
        <f>AI187*VLOOKUP('Données projet'!$B$10,Paramètres!$A$1:$I$89,3,0)*VLOOKUP('Données projet'!$B$10,Paramètres!$A$1:$I$89,5,0)</f>
        <v>-2.7193891583010558E-13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247.30892363953825</v>
      </c>
      <c r="AO187" s="59">
        <f t="shared" si="144"/>
        <v>248.38414731596578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0.23672172067992373</v>
      </c>
      <c r="AV187" s="21">
        <f>EXP(-LN(2)/25)*AV186+(1-EXP(-LN(2)/25))/(LN(2)/25)*Calculateur!AQ187*Calculateur!AS187*VLOOKUP('Données projet'!$B$10,Paramètres!$A$1:$I$89,3,0)*0.475*44/12</f>
        <v>0.14488572163695013</v>
      </c>
      <c r="AW187" s="21">
        <f>EXP(-LN(2)/2)*AW186+(1-EXP(-LN(2)/2))/(LN(2)/2)*AQ187*AT187*VLOOKUP('Données projet'!$B$10,Paramètres!$A$1:$I$89,3,0)*0.475*44/12</f>
        <v>1.2566418993302083E-22</v>
      </c>
      <c r="AX187" s="21">
        <f t="shared" si="166"/>
        <v>0.38160744231687382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-9.1631591203622526E-14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265.97106059040101</v>
      </c>
      <c r="BJ187" s="59">
        <f t="shared" si="146"/>
        <v>240.18718869578237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0.2729733078565113</v>
      </c>
      <c r="BQ187" s="21">
        <f>EXP(-LN(2)/25)*BQ186+(1-EXP(-LN(2)/25))/(LN(2)/25)*Calculateur!BL187*Calculateur!BN187*VLOOKUP('Données projet'!$B$11,Paramètres!$A$1:$I$89,3,0)*0.475*44/12</f>
        <v>0.16055507126095936</v>
      </c>
      <c r="BR187" s="21">
        <f>EXP(-LN(2)/2)*BR186+(1-EXP(-LN(2)/2))/(LN(2)/2)*BL187*BO187*VLOOKUP('Données projet'!$B$11,Paramètres!$A$1:$I$89,3,0)*0.475*44/12</f>
        <v>1.1836327856149737E-22</v>
      </c>
      <c r="BS187" s="22">
        <f t="shared" si="169"/>
        <v>0.43352837911747066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-4.5474735088646412E-13</v>
      </c>
      <c r="BZ187" s="13">
        <f>BY187*VLOOKUP('Données projet'!$B$12,Paramètres!$A$1:$I$89,3,0)*VLOOKUP('Données projet'!$B$12,Paramètres!$A$1:$I$89,5,0)</f>
        <v>-2.7193891583010558E-13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247.30892363953825</v>
      </c>
      <c r="CE187" s="59">
        <f t="shared" si="148"/>
        <v>248.38414731596578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0.23672172067992373</v>
      </c>
      <c r="CL187" s="21">
        <f>EXP(-LN(2)/25)*CL186+(1-EXP(-LN(2)/25))/(LN(2)/25)*Calculateur!CG187*Calculateur!CI187*VLOOKUP('Données projet'!$B$12,Paramètres!$A$1:$I$89,3,0)*0.475*44/12</f>
        <v>0.14488572163695013</v>
      </c>
      <c r="CM187" s="21">
        <f>EXP(-LN(2)/2)*CM186+(1-EXP(-LN(2)/2))/(LN(2)/2)*CG187*CJ187*VLOOKUP('Données projet'!$B$12,Paramètres!$A$1:$I$89,3,0)*0.475*44/12</f>
        <v>1.2566418993302083E-22</v>
      </c>
      <c r="CN187" s="22">
        <f t="shared" si="172"/>
        <v>0.38160744231687382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191.77102466144095</v>
      </c>
      <c r="T188" s="59">
        <f t="shared" si="142"/>
        <v>205.57161411620217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0.28848091045675694</v>
      </c>
      <c r="AA188" s="21">
        <f>EXP(-LN(2)/25)*AA187+(1-EXP(-LN(2)/25))/(LN(2)/25)*Calculateur!V188*Calculateur!X188*VLOOKUP('Données projet'!$B$9,Paramètres!$A$1:$I$89,3,0)*0.475*44/12</f>
        <v>0.16772900766216123</v>
      </c>
      <c r="AB188" s="21">
        <f>EXP(-LN(2)/2)*AB187+(1-EXP(-LN(2)/2))/(LN(2)/2)*V188*Y188*VLOOKUP('Données projet'!$B$9,Paramètres!$A$1:$I$89,3,0)*0.475*44/12</f>
        <v>2.5481702473299501E-23</v>
      </c>
      <c r="AC188" s="22">
        <f t="shared" si="163"/>
        <v>0.4562099181189182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-4.5474735088646412E-13</v>
      </c>
      <c r="AJ188" s="13">
        <f>AI188*VLOOKUP('Données projet'!$B$10,Paramètres!$A$1:$I$89,3,0)*VLOOKUP('Données projet'!$B$10,Paramètres!$A$1:$I$89,5,0)</f>
        <v>-2.7193891583010558E-13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247.30892363953825</v>
      </c>
      <c r="AO188" s="59">
        <f t="shared" si="144"/>
        <v>248.38414731596578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0.23207975212338311</v>
      </c>
      <c r="AV188" s="21">
        <f>EXP(-LN(2)/25)*AV187+(1-EXP(-LN(2)/25))/(LN(2)/25)*Calculateur!AQ188*Calculateur!AS188*VLOOKUP('Données projet'!$B$10,Paramètres!$A$1:$I$89,3,0)*0.475*44/12</f>
        <v>0.14092381395957876</v>
      </c>
      <c r="AW188" s="21">
        <f>EXP(-LN(2)/2)*AW187+(1-EXP(-LN(2)/2))/(LN(2)/2)*AQ188*AT188*VLOOKUP('Données projet'!$B$10,Paramètres!$A$1:$I$89,3,0)*0.475*44/12</f>
        <v>8.8858000853953311E-23</v>
      </c>
      <c r="AX188" s="21">
        <f t="shared" si="166"/>
        <v>0.37300356608296187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-9.1631591203622526E-14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265.97106059040101</v>
      </c>
      <c r="BJ188" s="59">
        <f t="shared" si="146"/>
        <v>240.18718869578237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0.26762046778672266</v>
      </c>
      <c r="BQ188" s="21">
        <f>EXP(-LN(2)/25)*BQ187+(1-EXP(-LN(2)/25))/(LN(2)/25)*Calculateur!BL188*Calculateur!BN188*VLOOKUP('Données projet'!$B$11,Paramètres!$A$1:$I$89,3,0)*0.475*44/12</f>
        <v>0.15616468439410419</v>
      </c>
      <c r="BR188" s="21">
        <f>EXP(-LN(2)/2)*BR187+(1-EXP(-LN(2)/2))/(LN(2)/2)*BL188*BO188*VLOOKUP('Données projet'!$B$11,Paramètres!$A$1:$I$89,3,0)*0.475*44/12</f>
        <v>8.3695476914307091E-23</v>
      </c>
      <c r="BS188" s="22">
        <f t="shared" si="169"/>
        <v>0.42378515218082685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-4.5474735088646412E-13</v>
      </c>
      <c r="BZ188" s="13">
        <f>BY188*VLOOKUP('Données projet'!$B$12,Paramètres!$A$1:$I$89,3,0)*VLOOKUP('Données projet'!$B$12,Paramètres!$A$1:$I$89,5,0)</f>
        <v>-2.7193891583010558E-13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247.30892363953825</v>
      </c>
      <c r="CE188" s="59">
        <f t="shared" si="148"/>
        <v>248.38414731596578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0.23207975212338311</v>
      </c>
      <c r="CL188" s="21">
        <f>EXP(-LN(2)/25)*CL187+(1-EXP(-LN(2)/25))/(LN(2)/25)*Calculateur!CG188*Calculateur!CI188*VLOOKUP('Données projet'!$B$12,Paramètres!$A$1:$I$89,3,0)*0.475*44/12</f>
        <v>0.14092381395957876</v>
      </c>
      <c r="CM188" s="21">
        <f>EXP(-LN(2)/2)*CM187+(1-EXP(-LN(2)/2))/(LN(2)/2)*CG188*CJ188*VLOOKUP('Données projet'!$B$12,Paramètres!$A$1:$I$89,3,0)*0.475*44/12</f>
        <v>8.8858000853953311E-23</v>
      </c>
      <c r="CN188" s="22">
        <f t="shared" si="172"/>
        <v>0.37300356608296187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191.77102466144095</v>
      </c>
      <c r="T189" s="59">
        <f t="shared" si="142"/>
        <v>205.57161411620217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0.28282397575868112</v>
      </c>
      <c r="AA189" s="21">
        <f>EXP(-LN(2)/25)*AA188+(1-EXP(-LN(2)/25))/(LN(2)/25)*Calculateur!V189*Calculateur!X189*VLOOKUP('Données projet'!$B$9,Paramètres!$A$1:$I$89,3,0)*0.475*44/12</f>
        <v>0.16314244912715425</v>
      </c>
      <c r="AB189" s="21">
        <f>EXP(-LN(2)/2)*AB188+(1-EXP(-LN(2)/2))/(LN(2)/2)*V189*Y189*VLOOKUP('Données projet'!$B$9,Paramètres!$A$1:$I$89,3,0)*0.475*44/12</f>
        <v>1.8018284615048097E-23</v>
      </c>
      <c r="AC189" s="22">
        <f t="shared" si="163"/>
        <v>0.44596642488583538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-4.5474735088646412E-13</v>
      </c>
      <c r="AJ189" s="13">
        <f>AI189*VLOOKUP('Données projet'!$B$10,Paramètres!$A$1:$I$89,3,0)*VLOOKUP('Données projet'!$B$10,Paramètres!$A$1:$I$89,5,0)</f>
        <v>-2.7193891583010558E-13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247.30892363953825</v>
      </c>
      <c r="AO189" s="59">
        <f t="shared" si="144"/>
        <v>248.38414731596578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0.22752880973891501</v>
      </c>
      <c r="AV189" s="21">
        <f>EXP(-LN(2)/25)*AV188+(1-EXP(-LN(2)/25))/(LN(2)/25)*Calculateur!AQ189*Calculateur!AS189*VLOOKUP('Données projet'!$B$10,Paramètres!$A$1:$I$89,3,0)*0.475*44/12</f>
        <v>0.13707024485599278</v>
      </c>
      <c r="AW189" s="21">
        <f>EXP(-LN(2)/2)*AW188+(1-EXP(-LN(2)/2))/(LN(2)/2)*AQ189*AT189*VLOOKUP('Données projet'!$B$10,Paramètres!$A$1:$I$89,3,0)*0.475*44/12</f>
        <v>6.2832094966510416E-23</v>
      </c>
      <c r="AX189" s="21">
        <f t="shared" si="166"/>
        <v>0.36459905459490782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-9.1631591203622526E-14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265.97106059040101</v>
      </c>
      <c r="BJ189" s="59">
        <f t="shared" si="146"/>
        <v>240.18718869578237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0.26237259364579252</v>
      </c>
      <c r="BQ189" s="21">
        <f>EXP(-LN(2)/25)*BQ188+(1-EXP(-LN(2)/25))/(LN(2)/25)*Calculateur!BL189*Calculateur!BN189*VLOOKUP('Données projet'!$B$11,Paramètres!$A$1:$I$89,3,0)*0.475*44/12</f>
        <v>0.15189435288700359</v>
      </c>
      <c r="BR189" s="21">
        <f>EXP(-LN(2)/2)*BR188+(1-EXP(-LN(2)/2))/(LN(2)/2)*BL189*BO189*VLOOKUP('Données projet'!$B$11,Paramètres!$A$1:$I$89,3,0)*0.475*44/12</f>
        <v>5.9181639280748683E-23</v>
      </c>
      <c r="BS189" s="22">
        <f t="shared" si="169"/>
        <v>0.41426694653279611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-4.5474735088646412E-13</v>
      </c>
      <c r="BZ189" s="13">
        <f>BY189*VLOOKUP('Données projet'!$B$12,Paramètres!$A$1:$I$89,3,0)*VLOOKUP('Données projet'!$B$12,Paramètres!$A$1:$I$89,5,0)</f>
        <v>-2.7193891583010558E-13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247.30892363953825</v>
      </c>
      <c r="CE189" s="59">
        <f t="shared" si="148"/>
        <v>248.38414731596578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0.22752880973891501</v>
      </c>
      <c r="CL189" s="21">
        <f>EXP(-LN(2)/25)*CL188+(1-EXP(-LN(2)/25))/(LN(2)/25)*Calculateur!CG189*Calculateur!CI189*VLOOKUP('Données projet'!$B$12,Paramètres!$A$1:$I$89,3,0)*0.475*44/12</f>
        <v>0.13707024485599278</v>
      </c>
      <c r="CM189" s="21">
        <f>EXP(-LN(2)/2)*CM188+(1-EXP(-LN(2)/2))/(LN(2)/2)*CG189*CJ189*VLOOKUP('Données projet'!$B$12,Paramètres!$A$1:$I$89,3,0)*0.475*44/12</f>
        <v>6.2832094966510416E-23</v>
      </c>
      <c r="CN189" s="22">
        <f t="shared" si="172"/>
        <v>0.36459905459490782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191.77102466144095</v>
      </c>
      <c r="T190" s="59">
        <f t="shared" si="142"/>
        <v>205.57161411620217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0.27727797009964511</v>
      </c>
      <c r="AA190" s="21">
        <f>EXP(-LN(2)/25)*AA189+(1-EXP(-LN(2)/25))/(LN(2)/25)*Calculateur!V190*Calculateur!X190*VLOOKUP('Données projet'!$B$9,Paramètres!$A$1:$I$89,3,0)*0.475*44/12</f>
        <v>0.15868131027648369</v>
      </c>
      <c r="AB190" s="21">
        <f>EXP(-LN(2)/2)*AB189+(1-EXP(-LN(2)/2))/(LN(2)/2)*V190*Y190*VLOOKUP('Données projet'!$B$9,Paramètres!$A$1:$I$89,3,0)*0.475*44/12</f>
        <v>1.2740851236649751E-23</v>
      </c>
      <c r="AC190" s="22">
        <f t="shared" si="163"/>
        <v>0.4359592803761288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-4.5474735088646412E-13</v>
      </c>
      <c r="AJ190" s="13">
        <f>AI190*VLOOKUP('Données projet'!$B$10,Paramètres!$A$1:$I$89,3,0)*VLOOKUP('Données projet'!$B$10,Paramètres!$A$1:$I$89,5,0)</f>
        <v>-2.7193891583010558E-13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247.30892363953825</v>
      </c>
      <c r="AO190" s="59">
        <f t="shared" si="144"/>
        <v>248.38414731596578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0.22306710855880554</v>
      </c>
      <c r="AV190" s="21">
        <f>EXP(-LN(2)/25)*AV189+(1-EXP(-LN(2)/25))/(LN(2)/25)*Calculateur!AQ190*Calculateur!AS190*VLOOKUP('Données projet'!$B$10,Paramètres!$A$1:$I$89,3,0)*0.475*44/12</f>
        <v>0.13332205180219475</v>
      </c>
      <c r="AW190" s="21">
        <f>EXP(-LN(2)/2)*AW189+(1-EXP(-LN(2)/2))/(LN(2)/2)*AQ190*AT190*VLOOKUP('Données projet'!$B$10,Paramètres!$A$1:$I$89,3,0)*0.475*44/12</f>
        <v>4.4429000426976656E-23</v>
      </c>
      <c r="AX190" s="21">
        <f t="shared" si="166"/>
        <v>0.35638916036100032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-9.1631591203622526E-14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265.97106059040101</v>
      </c>
      <c r="BJ190" s="59">
        <f t="shared" si="146"/>
        <v>240.18718869578237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0.25722762711587888</v>
      </c>
      <c r="BQ190" s="21">
        <f>EXP(-LN(2)/25)*BQ189+(1-EXP(-LN(2)/25))/(LN(2)/25)*Calculateur!BL190*Calculateur!BN190*VLOOKUP('Données projet'!$B$11,Paramètres!$A$1:$I$89,3,0)*0.475*44/12</f>
        <v>0.14774079381953162</v>
      </c>
      <c r="BR190" s="21">
        <f>EXP(-LN(2)/2)*BR189+(1-EXP(-LN(2)/2))/(LN(2)/2)*BL190*BO190*VLOOKUP('Données projet'!$B$11,Paramètres!$A$1:$I$89,3,0)*0.475*44/12</f>
        <v>4.1847738457153545E-23</v>
      </c>
      <c r="BS190" s="22">
        <f t="shared" si="169"/>
        <v>0.40496842093541052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-4.5474735088646412E-13</v>
      </c>
      <c r="BZ190" s="13">
        <f>BY190*VLOOKUP('Données projet'!$B$12,Paramètres!$A$1:$I$89,3,0)*VLOOKUP('Données projet'!$B$12,Paramètres!$A$1:$I$89,5,0)</f>
        <v>-2.7193891583010558E-13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247.30892363953825</v>
      </c>
      <c r="CE190" s="59">
        <f t="shared" si="148"/>
        <v>248.38414731596578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0.22306710855880554</v>
      </c>
      <c r="CL190" s="21">
        <f>EXP(-LN(2)/25)*CL189+(1-EXP(-LN(2)/25))/(LN(2)/25)*Calculateur!CG190*Calculateur!CI190*VLOOKUP('Données projet'!$B$12,Paramètres!$A$1:$I$89,3,0)*0.475*44/12</f>
        <v>0.13332205180219475</v>
      </c>
      <c r="CM190" s="21">
        <f>EXP(-LN(2)/2)*CM189+(1-EXP(-LN(2)/2))/(LN(2)/2)*CG190*CJ190*VLOOKUP('Données projet'!$B$12,Paramètres!$A$1:$I$89,3,0)*0.475*44/12</f>
        <v>4.4429000426976656E-23</v>
      </c>
      <c r="CN190" s="22">
        <f t="shared" si="172"/>
        <v>0.35638916036100032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191.77102466144095</v>
      </c>
      <c r="T191" s="59">
        <f t="shared" si="142"/>
        <v>205.57161411620217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0.27184071822885336</v>
      </c>
      <c r="AA191" s="21">
        <f>EXP(-LN(2)/25)*AA190+(1-EXP(-LN(2)/25))/(LN(2)/25)*Calculateur!V191*Calculateur!X191*VLOOKUP('Données projet'!$B$9,Paramètres!$A$1:$I$89,3,0)*0.475*44/12</f>
        <v>0.1543421615022858</v>
      </c>
      <c r="AB191" s="21">
        <f>EXP(-LN(2)/2)*AB190+(1-EXP(-LN(2)/2))/(LN(2)/2)*V191*Y191*VLOOKUP('Données projet'!$B$9,Paramètres!$A$1:$I$89,3,0)*0.475*44/12</f>
        <v>9.0091423075240485E-24</v>
      </c>
      <c r="AC191" s="22">
        <f t="shared" si="163"/>
        <v>0.42618287973113916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-4.5474735088646412E-13</v>
      </c>
      <c r="AJ191" s="13">
        <f>AI191*VLOOKUP('Données projet'!$B$10,Paramètres!$A$1:$I$89,3,0)*VLOOKUP('Données projet'!$B$10,Paramètres!$A$1:$I$89,5,0)</f>
        <v>-2.7193891583010558E-13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247.30892363953825</v>
      </c>
      <c r="AO191" s="59">
        <f t="shared" si="144"/>
        <v>248.38414731596578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0.21869289861746902</v>
      </c>
      <c r="AV191" s="21">
        <f>EXP(-LN(2)/25)*AV190+(1-EXP(-LN(2)/25))/(LN(2)/25)*Calculateur!AQ191*Calculateur!AS191*VLOOKUP('Données projet'!$B$10,Paramètres!$A$1:$I$89,3,0)*0.475*44/12</f>
        <v>0.12967635328456176</v>
      </c>
      <c r="AW191" s="21">
        <f>EXP(-LN(2)/2)*AW190+(1-EXP(-LN(2)/2))/(LN(2)/2)*AQ191*AT191*VLOOKUP('Données projet'!$B$10,Paramètres!$A$1:$I$89,3,0)*0.475*44/12</f>
        <v>3.1416047483255208E-23</v>
      </c>
      <c r="AX191" s="21">
        <f t="shared" si="166"/>
        <v>0.34836925190203077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-9.1631591203622526E-14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265.97106059040101</v>
      </c>
      <c r="BJ191" s="59">
        <f t="shared" si="146"/>
        <v>240.18718869578237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0.25218355024149708</v>
      </c>
      <c r="BQ191" s="21">
        <f>EXP(-LN(2)/25)*BQ190+(1-EXP(-LN(2)/25))/(LN(2)/25)*Calculateur!BL191*Calculateur!BN191*VLOOKUP('Données projet'!$B$11,Paramètres!$A$1:$I$89,3,0)*0.475*44/12</f>
        <v>0.14370081404318585</v>
      </c>
      <c r="BR191" s="21">
        <f>EXP(-LN(2)/2)*BR190+(1-EXP(-LN(2)/2))/(LN(2)/2)*BL191*BO191*VLOOKUP('Données projet'!$B$11,Paramètres!$A$1:$I$89,3,0)*0.475*44/12</f>
        <v>2.9590819640374341E-23</v>
      </c>
      <c r="BS191" s="22">
        <f t="shared" si="169"/>
        <v>0.39588436428468293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-4.5474735088646412E-13</v>
      </c>
      <c r="BZ191" s="13">
        <f>BY191*VLOOKUP('Données projet'!$B$12,Paramètres!$A$1:$I$89,3,0)*VLOOKUP('Données projet'!$B$12,Paramètres!$A$1:$I$89,5,0)</f>
        <v>-2.7193891583010558E-13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247.30892363953825</v>
      </c>
      <c r="CE191" s="59">
        <f t="shared" si="148"/>
        <v>248.38414731596578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0.21869289861746902</v>
      </c>
      <c r="CL191" s="21">
        <f>EXP(-LN(2)/25)*CL190+(1-EXP(-LN(2)/25))/(LN(2)/25)*Calculateur!CG191*Calculateur!CI191*VLOOKUP('Données projet'!$B$12,Paramètres!$A$1:$I$89,3,0)*0.475*44/12</f>
        <v>0.12967635328456176</v>
      </c>
      <c r="CM191" s="21">
        <f>EXP(-LN(2)/2)*CM190+(1-EXP(-LN(2)/2))/(LN(2)/2)*CG191*CJ191*VLOOKUP('Données projet'!$B$12,Paramètres!$A$1:$I$89,3,0)*0.475*44/12</f>
        <v>3.1416047483255208E-23</v>
      </c>
      <c r="CN191" s="22">
        <f t="shared" si="172"/>
        <v>0.34836925190203077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191.77102466144095</v>
      </c>
      <c r="T192" s="59">
        <f t="shared" si="142"/>
        <v>205.57161411620217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0.26651008755085165</v>
      </c>
      <c r="AA192" s="21">
        <f>EXP(-LN(2)/25)*AA191+(1-EXP(-LN(2)/25))/(LN(2)/25)*Calculateur!V192*Calculateur!X192*VLOOKUP('Données projet'!$B$9,Paramètres!$A$1:$I$89,3,0)*0.475*44/12</f>
        <v>0.15012166697950427</v>
      </c>
      <c r="AB192" s="21">
        <f>EXP(-LN(2)/2)*AB191+(1-EXP(-LN(2)/2))/(LN(2)/2)*V192*Y192*VLOOKUP('Données projet'!$B$9,Paramètres!$A$1:$I$89,3,0)*0.475*44/12</f>
        <v>6.3704256183248753E-24</v>
      </c>
      <c r="AC192" s="22">
        <f t="shared" si="163"/>
        <v>0.41663175453035595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-4.5474735088646412E-13</v>
      </c>
      <c r="AJ192" s="13">
        <f>AI192*VLOOKUP('Données projet'!$B$10,Paramètres!$A$1:$I$89,3,0)*VLOOKUP('Données projet'!$B$10,Paramètres!$A$1:$I$89,5,0)</f>
        <v>-2.7193891583010558E-13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247.30892363953825</v>
      </c>
      <c r="AO192" s="59">
        <f t="shared" si="144"/>
        <v>248.38414731596578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0.21440446426507748</v>
      </c>
      <c r="AV192" s="21">
        <f>EXP(-LN(2)/25)*AV191+(1-EXP(-LN(2)/25))/(LN(2)/25)*Calculateur!AQ192*Calculateur!AS192*VLOOKUP('Données projet'!$B$10,Paramètres!$A$1:$I$89,3,0)*0.475*44/12</f>
        <v>0.12613034658461236</v>
      </c>
      <c r="AW192" s="21">
        <f>EXP(-LN(2)/2)*AW191+(1-EXP(-LN(2)/2))/(LN(2)/2)*AQ192*AT192*VLOOKUP('Données projet'!$B$10,Paramètres!$A$1:$I$89,3,0)*0.475*44/12</f>
        <v>2.2214500213488328E-23</v>
      </c>
      <c r="AX192" s="21">
        <f t="shared" si="166"/>
        <v>0.34053481084968984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-9.1631591203622526E-14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265.97106059040101</v>
      </c>
      <c r="BJ192" s="59">
        <f t="shared" si="146"/>
        <v>240.18718869578237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0.24723838463803882</v>
      </c>
      <c r="BQ192" s="21">
        <f>EXP(-LN(2)/25)*BQ191+(1-EXP(-LN(2)/25))/(LN(2)/25)*Calculateur!BL192*Calculateur!BN192*VLOOKUP('Données projet'!$B$11,Paramètres!$A$1:$I$89,3,0)*0.475*44/12</f>
        <v>0.13977130772627755</v>
      </c>
      <c r="BR192" s="21">
        <f>EXP(-LN(2)/2)*BR191+(1-EXP(-LN(2)/2))/(LN(2)/2)*BL192*BO192*VLOOKUP('Données projet'!$B$11,Paramètres!$A$1:$I$89,3,0)*0.475*44/12</f>
        <v>2.0923869228576773E-23</v>
      </c>
      <c r="BS192" s="22">
        <f t="shared" si="169"/>
        <v>0.38700969236431637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-4.5474735088646412E-13</v>
      </c>
      <c r="BZ192" s="13">
        <f>BY192*VLOOKUP('Données projet'!$B$12,Paramètres!$A$1:$I$89,3,0)*VLOOKUP('Données projet'!$B$12,Paramètres!$A$1:$I$89,5,0)</f>
        <v>-2.7193891583010558E-13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247.30892363953825</v>
      </c>
      <c r="CE192" s="59">
        <f t="shared" si="148"/>
        <v>248.38414731596578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0.21440446426507748</v>
      </c>
      <c r="CL192" s="21">
        <f>EXP(-LN(2)/25)*CL191+(1-EXP(-LN(2)/25))/(LN(2)/25)*Calculateur!CG192*Calculateur!CI192*VLOOKUP('Données projet'!$B$12,Paramètres!$A$1:$I$89,3,0)*0.475*44/12</f>
        <v>0.12613034658461236</v>
      </c>
      <c r="CM192" s="21">
        <f>EXP(-LN(2)/2)*CM191+(1-EXP(-LN(2)/2))/(LN(2)/2)*CG192*CJ192*VLOOKUP('Données projet'!$B$12,Paramètres!$A$1:$I$89,3,0)*0.475*44/12</f>
        <v>2.2214500213488328E-23</v>
      </c>
      <c r="CN192" s="22">
        <f t="shared" si="172"/>
        <v>0.34053481084968984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191.77102466144095</v>
      </c>
      <c r="T193" s="59">
        <f t="shared" si="142"/>
        <v>205.57161411620217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0.26128398728908186</v>
      </c>
      <c r="AA193" s="21">
        <f>EXP(-LN(2)/25)*AA192+(1-EXP(-LN(2)/25))/(LN(2)/25)*Calculateur!V193*Calculateur!X193*VLOOKUP('Données projet'!$B$9,Paramètres!$A$1:$I$89,3,0)*0.475*44/12</f>
        <v>0.14601658210139437</v>
      </c>
      <c r="AB193" s="21">
        <f>EXP(-LN(2)/2)*AB192+(1-EXP(-LN(2)/2))/(LN(2)/2)*V193*Y193*VLOOKUP('Données projet'!$B$9,Paramètres!$A$1:$I$89,3,0)*0.475*44/12</f>
        <v>4.5045711537620243E-24</v>
      </c>
      <c r="AC193" s="22">
        <f t="shared" si="163"/>
        <v>0.40730056939047621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-4.5474735088646412E-13</v>
      </c>
      <c r="AJ193" s="13">
        <f>AI193*VLOOKUP('Données projet'!$B$10,Paramètres!$A$1:$I$89,3,0)*VLOOKUP('Données projet'!$B$10,Paramètres!$A$1:$I$89,5,0)</f>
        <v>-2.7193891583010558E-13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247.30892363953825</v>
      </c>
      <c r="AO193" s="59">
        <f t="shared" si="144"/>
        <v>248.38414731596578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0.21020012349464967</v>
      </c>
      <c r="AV193" s="21">
        <f>EXP(-LN(2)/25)*AV192+(1-EXP(-LN(2)/25))/(LN(2)/25)*Calculateur!AQ193*Calculateur!AS193*VLOOKUP('Données projet'!$B$10,Paramètres!$A$1:$I$89,3,0)*0.475*44/12</f>
        <v>0.12268130562434948</v>
      </c>
      <c r="AW193" s="21">
        <f>EXP(-LN(2)/2)*AW192+(1-EXP(-LN(2)/2))/(LN(2)/2)*AQ193*AT193*VLOOKUP('Données projet'!$B$10,Paramètres!$A$1:$I$89,3,0)*0.475*44/12</f>
        <v>1.5708023741627604E-23</v>
      </c>
      <c r="AX193" s="21">
        <f t="shared" si="166"/>
        <v>0.33288142911899915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-9.1631591203622526E-14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265.97106059040101</v>
      </c>
      <c r="BJ193" s="59">
        <f t="shared" si="146"/>
        <v>240.18718869578237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0.24239019071581119</v>
      </c>
      <c r="BQ193" s="21">
        <f>EXP(-LN(2)/25)*BQ192+(1-EXP(-LN(2)/25))/(LN(2)/25)*Calculateur!BL193*Calculateur!BN193*VLOOKUP('Données projet'!$B$11,Paramètres!$A$1:$I$89,3,0)*0.475*44/12</f>
        <v>0.13594925396624888</v>
      </c>
      <c r="BR193" s="21">
        <f>EXP(-LN(2)/2)*BR192+(1-EXP(-LN(2)/2))/(LN(2)/2)*BL193*BO193*VLOOKUP('Données projet'!$B$11,Paramètres!$A$1:$I$89,3,0)*0.475*44/12</f>
        <v>1.4795409820187171E-23</v>
      </c>
      <c r="BS193" s="22">
        <f t="shared" si="169"/>
        <v>0.37833944468206004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-4.5474735088646412E-13</v>
      </c>
      <c r="BZ193" s="13">
        <f>BY193*VLOOKUP('Données projet'!$B$12,Paramètres!$A$1:$I$89,3,0)*VLOOKUP('Données projet'!$B$12,Paramètres!$A$1:$I$89,5,0)</f>
        <v>-2.7193891583010558E-13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247.30892363953825</v>
      </c>
      <c r="CE193" s="59">
        <f t="shared" si="148"/>
        <v>248.38414731596578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0.21020012349464967</v>
      </c>
      <c r="CL193" s="21">
        <f>EXP(-LN(2)/25)*CL192+(1-EXP(-LN(2)/25))/(LN(2)/25)*Calculateur!CG193*Calculateur!CI193*VLOOKUP('Données projet'!$B$12,Paramètres!$A$1:$I$89,3,0)*0.475*44/12</f>
        <v>0.12268130562434948</v>
      </c>
      <c r="CM193" s="21">
        <f>EXP(-LN(2)/2)*CM192+(1-EXP(-LN(2)/2))/(LN(2)/2)*CG193*CJ193*VLOOKUP('Données projet'!$B$12,Paramètres!$A$1:$I$89,3,0)*0.475*44/12</f>
        <v>1.5708023741627604E-23</v>
      </c>
      <c r="CN193" s="22">
        <f t="shared" si="172"/>
        <v>0.33288142911899915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191.77102466144095</v>
      </c>
      <c r="T194" s="59">
        <f t="shared" si="142"/>
        <v>205.57161411620217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0.25616036766583899</v>
      </c>
      <c r="AA194" s="21">
        <f>EXP(-LN(2)/25)*AA193+(1-EXP(-LN(2)/25))/(LN(2)/25)*Calculateur!V194*Calculateur!X194*VLOOKUP('Données projet'!$B$9,Paramètres!$A$1:$I$89,3,0)*0.475*44/12</f>
        <v>0.14202375098515341</v>
      </c>
      <c r="AB194" s="21">
        <f>EXP(-LN(2)/2)*AB193+(1-EXP(-LN(2)/2))/(LN(2)/2)*V194*Y194*VLOOKUP('Données projet'!$B$9,Paramètres!$A$1:$I$89,3,0)*0.475*44/12</f>
        <v>3.1852128091624376E-24</v>
      </c>
      <c r="AC194" s="22">
        <f t="shared" si="163"/>
        <v>0.3981841186509924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-4.5474735088646412E-13</v>
      </c>
      <c r="AJ194" s="13">
        <f>AI194*VLOOKUP('Données projet'!$B$10,Paramètres!$A$1:$I$89,3,0)*VLOOKUP('Données projet'!$B$10,Paramètres!$A$1:$I$89,5,0)</f>
        <v>-2.7193891583010558E-13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247.30892363953825</v>
      </c>
      <c r="AO194" s="59">
        <f t="shared" si="144"/>
        <v>248.38414731596578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0.2060782272823353</v>
      </c>
      <c r="AV194" s="21">
        <f>EXP(-LN(2)/25)*AV193+(1-EXP(-LN(2)/25))/(LN(2)/25)*Calculateur!AQ194*Calculateur!AS194*VLOOKUP('Données projet'!$B$10,Paramètres!$A$1:$I$89,3,0)*0.475*44/12</f>
        <v>0.11932657887052217</v>
      </c>
      <c r="AW194" s="21">
        <f>EXP(-LN(2)/2)*AW193+(1-EXP(-LN(2)/2))/(LN(2)/2)*AQ194*AT194*VLOOKUP('Données projet'!$B$10,Paramètres!$A$1:$I$89,3,0)*0.475*44/12</f>
        <v>1.1107250106744164E-23</v>
      </c>
      <c r="AX194" s="21">
        <f t="shared" si="166"/>
        <v>0.3254048061528575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-9.1631591203622526E-14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265.97106059040101</v>
      </c>
      <c r="BJ194" s="59">
        <f t="shared" si="146"/>
        <v>240.18718869578237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0.23763706691929215</v>
      </c>
      <c r="BQ194" s="21">
        <f>EXP(-LN(2)/25)*BQ193+(1-EXP(-LN(2)/25))/(LN(2)/25)*Calculateur!BL194*Calculateur!BN194*VLOOKUP('Données projet'!$B$11,Paramètres!$A$1:$I$89,3,0)*0.475*44/12</f>
        <v>0.13223171446728124</v>
      </c>
      <c r="BR194" s="21">
        <f>EXP(-LN(2)/2)*BR193+(1-EXP(-LN(2)/2))/(LN(2)/2)*BL194*BO194*VLOOKUP('Données projet'!$B$11,Paramètres!$A$1:$I$89,3,0)*0.475*44/12</f>
        <v>1.0461934614288386E-23</v>
      </c>
      <c r="BS194" s="22">
        <f t="shared" si="169"/>
        <v>0.36986878138657342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-4.5474735088646412E-13</v>
      </c>
      <c r="BZ194" s="13">
        <f>BY194*VLOOKUP('Données projet'!$B$12,Paramètres!$A$1:$I$89,3,0)*VLOOKUP('Données projet'!$B$12,Paramètres!$A$1:$I$89,5,0)</f>
        <v>-2.7193891583010558E-13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247.30892363953825</v>
      </c>
      <c r="CE194" s="59">
        <f t="shared" si="148"/>
        <v>248.38414731596578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0.2060782272823353</v>
      </c>
      <c r="CL194" s="21">
        <f>EXP(-LN(2)/25)*CL193+(1-EXP(-LN(2)/25))/(LN(2)/25)*Calculateur!CG194*Calculateur!CI194*VLOOKUP('Données projet'!$B$12,Paramètres!$A$1:$I$89,3,0)*0.475*44/12</f>
        <v>0.11932657887052217</v>
      </c>
      <c r="CM194" s="21">
        <f>EXP(-LN(2)/2)*CM193+(1-EXP(-LN(2)/2))/(LN(2)/2)*CG194*CJ194*VLOOKUP('Données projet'!$B$12,Paramètres!$A$1:$I$89,3,0)*0.475*44/12</f>
        <v>1.1107250106744164E-23</v>
      </c>
      <c r="CN194" s="22">
        <f t="shared" si="172"/>
        <v>0.3254048061528575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191.77102466144095</v>
      </c>
      <c r="T195" s="59">
        <f t="shared" si="142"/>
        <v>205.57161411620217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0.2511372190983085</v>
      </c>
      <c r="AA195" s="21">
        <f>EXP(-LN(2)/25)*AA194+(1-EXP(-LN(2)/25))/(LN(2)/25)*Calculateur!V195*Calculateur!X195*VLOOKUP('Données projet'!$B$9,Paramètres!$A$1:$I$89,3,0)*0.475*44/12</f>
        <v>0.13814010404575991</v>
      </c>
      <c r="AB195" s="21">
        <f>EXP(-LN(2)/2)*AB194+(1-EXP(-LN(2)/2))/(LN(2)/2)*V195*Y195*VLOOKUP('Données projet'!$B$9,Paramètres!$A$1:$I$89,3,0)*0.475*44/12</f>
        <v>2.2522855768810121E-24</v>
      </c>
      <c r="AC195" s="22">
        <f t="shared" si="163"/>
        <v>0.38927732314406838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-4.5474735088646412E-13</v>
      </c>
      <c r="AJ195" s="13">
        <f>AI195*VLOOKUP('Données projet'!$B$10,Paramètres!$A$1:$I$89,3,0)*VLOOKUP('Données projet'!$B$10,Paramètres!$A$1:$I$89,5,0)</f>
        <v>-2.7193891583010558E-13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247.30892363953825</v>
      </c>
      <c r="AO195" s="59">
        <f t="shared" si="144"/>
        <v>248.38414731596578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0.20203715894063595</v>
      </c>
      <c r="AV195" s="21">
        <f>EXP(-LN(2)/25)*AV194+(1-EXP(-LN(2)/25))/(LN(2)/25)*Calculateur!AQ195*Calculateur!AS195*VLOOKUP('Données projet'!$B$10,Paramètres!$A$1:$I$89,3,0)*0.475*44/12</f>
        <v>0.11606358729619569</v>
      </c>
      <c r="AW195" s="21">
        <f>EXP(-LN(2)/2)*AW194+(1-EXP(-LN(2)/2))/(LN(2)/2)*AQ195*AT195*VLOOKUP('Données projet'!$B$10,Paramètres!$A$1:$I$89,3,0)*0.475*44/12</f>
        <v>7.854011870813802E-24</v>
      </c>
      <c r="AX195" s="21">
        <f t="shared" si="166"/>
        <v>0.31810074623683166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-9.1631591203622526E-14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265.97106059040101</v>
      </c>
      <c r="BJ195" s="59">
        <f t="shared" si="146"/>
        <v>240.18718869578237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0.23297714898130359</v>
      </c>
      <c r="BQ195" s="21">
        <f>EXP(-LN(2)/25)*BQ194+(1-EXP(-LN(2)/25))/(LN(2)/25)*Calculateur!BL195*Calculateur!BN195*VLOOKUP('Données projet'!$B$11,Paramètres!$A$1:$I$89,3,0)*0.475*44/12</f>
        <v>0.1286158312814098</v>
      </c>
      <c r="BR195" s="21">
        <f>EXP(-LN(2)/2)*BR194+(1-EXP(-LN(2)/2))/(LN(2)/2)*BL195*BO195*VLOOKUP('Données projet'!$B$11,Paramètres!$A$1:$I$89,3,0)*0.475*44/12</f>
        <v>7.3977049100935854E-24</v>
      </c>
      <c r="BS195" s="22">
        <f t="shared" si="169"/>
        <v>0.36159298026271336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-4.5474735088646412E-13</v>
      </c>
      <c r="BZ195" s="13">
        <f>BY195*VLOOKUP('Données projet'!$B$12,Paramètres!$A$1:$I$89,3,0)*VLOOKUP('Données projet'!$B$12,Paramètres!$A$1:$I$89,5,0)</f>
        <v>-2.7193891583010558E-13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247.30892363953825</v>
      </c>
      <c r="CE195" s="59">
        <f t="shared" si="148"/>
        <v>248.38414731596578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0.20203715894063595</v>
      </c>
      <c r="CL195" s="21">
        <f>EXP(-LN(2)/25)*CL194+(1-EXP(-LN(2)/25))/(LN(2)/25)*Calculateur!CG195*Calculateur!CI195*VLOOKUP('Données projet'!$B$12,Paramètres!$A$1:$I$89,3,0)*0.475*44/12</f>
        <v>0.11606358729619569</v>
      </c>
      <c r="CM195" s="21">
        <f>EXP(-LN(2)/2)*CM194+(1-EXP(-LN(2)/2))/(LN(2)/2)*CG195*CJ195*VLOOKUP('Données projet'!$B$12,Paramètres!$A$1:$I$89,3,0)*0.475*44/12</f>
        <v>7.854011870813802E-24</v>
      </c>
      <c r="CN195" s="22">
        <f t="shared" si="172"/>
        <v>0.31810074623683166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191.77102466144095</v>
      </c>
      <c r="T196" s="59">
        <f t="shared" si="142"/>
        <v>205.57161411620217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0.24621257141036917</v>
      </c>
      <c r="AA196" s="21">
        <f>EXP(-LN(2)/25)*AA195+(1-EXP(-LN(2)/25))/(LN(2)/25)*Calculateur!V196*Calculateur!X196*VLOOKUP('Données projet'!$B$9,Paramètres!$A$1:$I$89,3,0)*0.475*44/12</f>
        <v>0.13436265563615626</v>
      </c>
      <c r="AB196" s="21">
        <f>EXP(-LN(2)/2)*AB195+(1-EXP(-LN(2)/2))/(LN(2)/2)*V196*Y196*VLOOKUP('Données projet'!$B$9,Paramètres!$A$1:$I$89,3,0)*0.475*44/12</f>
        <v>1.5926064045812188E-24</v>
      </c>
      <c r="AC196" s="22">
        <f t="shared" si="163"/>
        <v>0.38057522704652547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-4.5474735088646412E-13</v>
      </c>
      <c r="AJ196" s="13">
        <f>AI196*VLOOKUP('Données projet'!$B$10,Paramètres!$A$1:$I$89,3,0)*VLOOKUP('Données projet'!$B$10,Paramètres!$A$1:$I$89,5,0)</f>
        <v>-2.7193891583010558E-13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247.30892363953825</v>
      </c>
      <c r="AO196" s="59">
        <f t="shared" si="144"/>
        <v>248.38414731596578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0.19807533348430903</v>
      </c>
      <c r="AV196" s="21">
        <f>EXP(-LN(2)/25)*AV195+(1-EXP(-LN(2)/25))/(LN(2)/25)*Calculateur!AQ196*Calculateur!AS196*VLOOKUP('Données projet'!$B$10,Paramètres!$A$1:$I$89,3,0)*0.475*44/12</f>
        <v>0.11288982239806243</v>
      </c>
      <c r="AW196" s="21">
        <f>EXP(-LN(2)/2)*AW195+(1-EXP(-LN(2)/2))/(LN(2)/2)*AQ196*AT196*VLOOKUP('Données projet'!$B$10,Paramètres!$A$1:$I$89,3,0)*0.475*44/12</f>
        <v>5.553625053372082E-24</v>
      </c>
      <c r="AX196" s="21">
        <f t="shared" si="166"/>
        <v>0.31096515588237145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-9.1631591203622526E-14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265.97106059040101</v>
      </c>
      <c r="BJ196" s="59">
        <f t="shared" si="146"/>
        <v>240.18718869578237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0.22840860919180969</v>
      </c>
      <c r="BQ196" s="21">
        <f>EXP(-LN(2)/25)*BQ195+(1-EXP(-LN(2)/25))/(LN(2)/25)*Calculateur!BL196*Calculateur!BN196*VLOOKUP('Données projet'!$B$11,Paramètres!$A$1:$I$89,3,0)*0.475*44/12</f>
        <v>0.12509882461140703</v>
      </c>
      <c r="BR196" s="21">
        <f>EXP(-LN(2)/2)*BR195+(1-EXP(-LN(2)/2))/(LN(2)/2)*BL196*BO196*VLOOKUP('Données projet'!$B$11,Paramètres!$A$1:$I$89,3,0)*0.475*44/12</f>
        <v>5.2309673071441932E-24</v>
      </c>
      <c r="BS196" s="22">
        <f t="shared" si="169"/>
        <v>0.3535074338032167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-4.5474735088646412E-13</v>
      </c>
      <c r="BZ196" s="13">
        <f>BY196*VLOOKUP('Données projet'!$B$12,Paramètres!$A$1:$I$89,3,0)*VLOOKUP('Données projet'!$B$12,Paramètres!$A$1:$I$89,5,0)</f>
        <v>-2.7193891583010558E-13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247.30892363953825</v>
      </c>
      <c r="CE196" s="59">
        <f t="shared" si="148"/>
        <v>248.38414731596578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0.19807533348430903</v>
      </c>
      <c r="CL196" s="21">
        <f>EXP(-LN(2)/25)*CL195+(1-EXP(-LN(2)/25))/(LN(2)/25)*Calculateur!CG196*Calculateur!CI196*VLOOKUP('Données projet'!$B$12,Paramètres!$A$1:$I$89,3,0)*0.475*44/12</f>
        <v>0.11288982239806243</v>
      </c>
      <c r="CM196" s="21">
        <f>EXP(-LN(2)/2)*CM195+(1-EXP(-LN(2)/2))/(LN(2)/2)*CG196*CJ196*VLOOKUP('Données projet'!$B$12,Paramètres!$A$1:$I$89,3,0)*0.475*44/12</f>
        <v>5.553625053372082E-24</v>
      </c>
      <c r="CN196" s="22">
        <f t="shared" si="172"/>
        <v>0.31096515588237145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191.77102466144095</v>
      </c>
      <c r="T197" s="59">
        <f t="shared" ref="T197:T203" si="204">$T$3</f>
        <v>205.57161411620217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0.24138449305985185</v>
      </c>
      <c r="AA197" s="21">
        <f>EXP(-LN(2)/25)*AA196+(1-EXP(-LN(2)/25))/(LN(2)/25)*Calculateur!V197*Calculateur!X197*VLOOKUP('Données projet'!$B$9,Paramètres!$A$1:$I$89,3,0)*0.475*44/12</f>
        <v>0.13068850175196059</v>
      </c>
      <c r="AB197" s="21">
        <f>EXP(-LN(2)/2)*AB196+(1-EXP(-LN(2)/2))/(LN(2)/2)*V197*Y197*VLOOKUP('Données projet'!$B$9,Paramètres!$A$1:$I$89,3,0)*0.475*44/12</f>
        <v>1.1261427884405061E-24</v>
      </c>
      <c r="AC197" s="22">
        <f t="shared" si="163"/>
        <v>0.37207299481181244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-4.5474735088646412E-13</v>
      </c>
      <c r="AJ197" s="13">
        <f>AI197*VLOOKUP('Données projet'!$B$10,Paramètres!$A$1:$I$89,3,0)*VLOOKUP('Données projet'!$B$10,Paramètres!$A$1:$I$89,5,0)</f>
        <v>-2.7193891583010558E-13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247.30892363953825</v>
      </c>
      <c r="AO197" s="59">
        <f t="shared" ref="AO197:AO203" si="205">$AO$3</f>
        <v>248.38414731596578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0.19419119700870577</v>
      </c>
      <c r="AV197" s="21">
        <f>EXP(-LN(2)/25)*AV196+(1-EXP(-LN(2)/25))/(LN(2)/25)*Calculateur!AQ197*Calculateur!AS197*VLOOKUP('Données projet'!$B$10,Paramètres!$A$1:$I$89,3,0)*0.475*44/12</f>
        <v>0.10980284426796967</v>
      </c>
      <c r="AW197" s="21">
        <f>EXP(-LN(2)/2)*AW196+(1-EXP(-LN(2)/2))/(LN(2)/2)*AQ197*AT197*VLOOKUP('Données projet'!$B$10,Paramètres!$A$1:$I$89,3,0)*0.475*44/12</f>
        <v>3.927005935406901E-24</v>
      </c>
      <c r="AX197" s="21">
        <f t="shared" si="166"/>
        <v>0.30399404127667545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-9.1631591203622526E-14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265.97106059040101</v>
      </c>
      <c r="BJ197" s="59">
        <f t="shared" ref="BJ197:BJ203" si="206">$BJ$3</f>
        <v>240.18718869578237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0.22392965568105364</v>
      </c>
      <c r="BQ197" s="21">
        <f>EXP(-LN(2)/25)*BQ196+(1-EXP(-LN(2)/25))/(LN(2)/25)*Calculateur!BL197*Calculateur!BN197*VLOOKUP('Données projet'!$B$11,Paramètres!$A$1:$I$89,3,0)*0.475*44/12</f>
        <v>0.12167799067374684</v>
      </c>
      <c r="BR197" s="21">
        <f>EXP(-LN(2)/2)*BR196+(1-EXP(-LN(2)/2))/(LN(2)/2)*BL197*BO197*VLOOKUP('Données projet'!$B$11,Paramètres!$A$1:$I$89,3,0)*0.475*44/12</f>
        <v>3.6988524550467927E-24</v>
      </c>
      <c r="BS197" s="22">
        <f t="shared" si="169"/>
        <v>0.34560764635480046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-4.5474735088646412E-13</v>
      </c>
      <c r="BZ197" s="13">
        <f>BY197*VLOOKUP('Données projet'!$B$12,Paramètres!$A$1:$I$89,3,0)*VLOOKUP('Données projet'!$B$12,Paramètres!$A$1:$I$89,5,0)</f>
        <v>-2.7193891583010558E-13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247.30892363953825</v>
      </c>
      <c r="CE197" s="59">
        <f t="shared" ref="CE197:CE203" si="207">$CE$3</f>
        <v>248.38414731596578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0.19419119700870577</v>
      </c>
      <c r="CL197" s="21">
        <f>EXP(-LN(2)/25)*CL196+(1-EXP(-LN(2)/25))/(LN(2)/25)*Calculateur!CG197*Calculateur!CI197*VLOOKUP('Données projet'!$B$12,Paramètres!$A$1:$I$89,3,0)*0.475*44/12</f>
        <v>0.10980284426796967</v>
      </c>
      <c r="CM197" s="21">
        <f>EXP(-LN(2)/2)*CM196+(1-EXP(-LN(2)/2))/(LN(2)/2)*CG197*CJ197*VLOOKUP('Données projet'!$B$12,Paramètres!$A$1:$I$89,3,0)*0.475*44/12</f>
        <v>3.927005935406901E-24</v>
      </c>
      <c r="CN197" s="22">
        <f t="shared" si="172"/>
        <v>0.30399404127667545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191.77102466144095</v>
      </c>
      <c r="T198" s="59">
        <f t="shared" si="204"/>
        <v>205.57161411620217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0.23665109038095117</v>
      </c>
      <c r="AA198" s="21">
        <f>EXP(-LN(2)/25)*AA197+(1-EXP(-LN(2)/25))/(LN(2)/25)*Calculateur!V198*Calculateur!X198*VLOOKUP('Données projet'!$B$9,Paramètres!$A$1:$I$89,3,0)*0.475*44/12</f>
        <v>0.12711481779894362</v>
      </c>
      <c r="AB198" s="21">
        <f>EXP(-LN(2)/2)*AB197+(1-EXP(-LN(2)/2))/(LN(2)/2)*V198*Y198*VLOOKUP('Données projet'!$B$9,Paramètres!$A$1:$I$89,3,0)*0.475*44/12</f>
        <v>7.9630320229060941E-25</v>
      </c>
      <c r="AC198" s="22">
        <f t="shared" si="163"/>
        <v>0.36376590817989479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-4.5474735088646412E-13</v>
      </c>
      <c r="AJ198" s="13">
        <f>AI198*VLOOKUP('Données projet'!$B$10,Paramètres!$A$1:$I$89,3,0)*VLOOKUP('Données projet'!$B$10,Paramètres!$A$1:$I$89,5,0)</f>
        <v>-2.7193891583010558E-13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247.30892363953825</v>
      </c>
      <c r="AO198" s="59">
        <f t="shared" si="205"/>
        <v>248.38414731596578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0.19038322608029976</v>
      </c>
      <c r="AV198" s="21">
        <f>EXP(-LN(2)/25)*AV197+(1-EXP(-LN(2)/25))/(LN(2)/25)*Calculateur!AQ198*Calculateur!AS198*VLOOKUP('Données projet'!$B$10,Paramètres!$A$1:$I$89,3,0)*0.475*44/12</f>
        <v>0.10680027971718142</v>
      </c>
      <c r="AW198" s="21">
        <f>EXP(-LN(2)/2)*AW197+(1-EXP(-LN(2)/2))/(LN(2)/2)*AQ198*AT198*VLOOKUP('Données projet'!$B$10,Paramètres!$A$1:$I$89,3,0)*0.475*44/12</f>
        <v>2.776812526686041E-24</v>
      </c>
      <c r="AX198" s="21">
        <f t="shared" si="166"/>
        <v>0.29718350579748121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-9.1631591203622526E-14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265.97106059040101</v>
      </c>
      <c r="BJ198" s="59">
        <f t="shared" si="206"/>
        <v>240.18718869578237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0.21953853171675164</v>
      </c>
      <c r="BQ198" s="21">
        <f>EXP(-LN(2)/25)*BQ197+(1-EXP(-LN(2)/25))/(LN(2)/25)*Calculateur!BL198*Calculateur!BN198*VLOOKUP('Données projet'!$B$11,Paramètres!$A$1:$I$89,3,0)*0.475*44/12</f>
        <v>0.1183506996200058</v>
      </c>
      <c r="BR198" s="21">
        <f>EXP(-LN(2)/2)*BR197+(1-EXP(-LN(2)/2))/(LN(2)/2)*BL198*BO198*VLOOKUP('Données projet'!$B$11,Paramètres!$A$1:$I$89,3,0)*0.475*44/12</f>
        <v>2.6154836535720966E-24</v>
      </c>
      <c r="BS198" s="22">
        <f t="shared" si="169"/>
        <v>0.33788923133675741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-4.5474735088646412E-13</v>
      </c>
      <c r="BZ198" s="13">
        <f>BY198*VLOOKUP('Données projet'!$B$12,Paramètres!$A$1:$I$89,3,0)*VLOOKUP('Données projet'!$B$12,Paramètres!$A$1:$I$89,5,0)</f>
        <v>-2.7193891583010558E-13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247.30892363953825</v>
      </c>
      <c r="CE198" s="59">
        <f t="shared" si="207"/>
        <v>248.38414731596578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0.19038322608029976</v>
      </c>
      <c r="CL198" s="21">
        <f>EXP(-LN(2)/25)*CL197+(1-EXP(-LN(2)/25))/(LN(2)/25)*Calculateur!CG198*Calculateur!CI198*VLOOKUP('Données projet'!$B$12,Paramètres!$A$1:$I$89,3,0)*0.475*44/12</f>
        <v>0.10680027971718142</v>
      </c>
      <c r="CM198" s="21">
        <f>EXP(-LN(2)/2)*CM197+(1-EXP(-LN(2)/2))/(LN(2)/2)*CG198*CJ198*VLOOKUP('Données projet'!$B$12,Paramètres!$A$1:$I$89,3,0)*0.475*44/12</f>
        <v>2.776812526686041E-24</v>
      </c>
      <c r="CN198" s="22">
        <f t="shared" si="172"/>
        <v>0.29718350579748121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191.77102466144095</v>
      </c>
      <c r="T199" s="59">
        <f t="shared" si="204"/>
        <v>205.57161411620217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0.23201050684149316</v>
      </c>
      <c r="AA199" s="21">
        <f>EXP(-LN(2)/25)*AA198+(1-EXP(-LN(2)/25))/(LN(2)/25)*Calculateur!V199*Calculateur!X199*VLOOKUP('Données projet'!$B$9,Paramètres!$A$1:$I$89,3,0)*0.475*44/12</f>
        <v>0.12363885642155377</v>
      </c>
      <c r="AB199" s="21">
        <f>EXP(-LN(2)/2)*AB198+(1-EXP(-LN(2)/2))/(LN(2)/2)*V199*Y199*VLOOKUP('Données projet'!$B$9,Paramètres!$A$1:$I$89,3,0)*0.475*44/12</f>
        <v>5.6307139422025303E-25</v>
      </c>
      <c r="AC199" s="22">
        <f t="shared" si="163"/>
        <v>0.35564936326304691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-4.5474735088646412E-13</v>
      </c>
      <c r="AJ199" s="13">
        <f>AI199*VLOOKUP('Données projet'!$B$10,Paramètres!$A$1:$I$89,3,0)*VLOOKUP('Données projet'!$B$10,Paramètres!$A$1:$I$89,5,0)</f>
        <v>-2.7193891583010558E-13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247.30892363953825</v>
      </c>
      <c r="AO199" s="59">
        <f t="shared" si="205"/>
        <v>248.38414731596578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0.18664992713916687</v>
      </c>
      <c r="AV199" s="21">
        <f>EXP(-LN(2)/25)*AV198+(1-EXP(-LN(2)/25))/(LN(2)/25)*Calculateur!AQ199*Calculateur!AS199*VLOOKUP('Données projet'!$B$10,Paramètres!$A$1:$I$89,3,0)*0.475*44/12</f>
        <v>0.10387982045193249</v>
      </c>
      <c r="AW199" s="21">
        <f>EXP(-LN(2)/2)*AW198+(1-EXP(-LN(2)/2))/(LN(2)/2)*AQ199*AT199*VLOOKUP('Données projet'!$B$10,Paramètres!$A$1:$I$89,3,0)*0.475*44/12</f>
        <v>1.9635029677034505E-24</v>
      </c>
      <c r="AX199" s="21">
        <f t="shared" si="166"/>
        <v>0.29052974759109934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-9.1631591203622526E-14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265.97106059040101</v>
      </c>
      <c r="BJ199" s="59">
        <f t="shared" si="206"/>
        <v>240.18718869578237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0.21523351501506843</v>
      </c>
      <c r="BQ199" s="21">
        <f>EXP(-LN(2)/25)*BQ198+(1-EXP(-LN(2)/25))/(LN(2)/25)*Calculateur!BL199*Calculateur!BN199*VLOOKUP('Données projet'!$B$11,Paramètres!$A$1:$I$89,3,0)*0.475*44/12</f>
        <v>0.11511439351510394</v>
      </c>
      <c r="BR199" s="21">
        <f>EXP(-LN(2)/2)*BR198+(1-EXP(-LN(2)/2))/(LN(2)/2)*BL199*BO199*VLOOKUP('Données projet'!$B$11,Paramètres!$A$1:$I$89,3,0)*0.475*44/12</f>
        <v>1.8494262275233963E-24</v>
      </c>
      <c r="BS199" s="22">
        <f t="shared" si="169"/>
        <v>0.33034790853017237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-4.5474735088646412E-13</v>
      </c>
      <c r="BZ199" s="13">
        <f>BY199*VLOOKUP('Données projet'!$B$12,Paramètres!$A$1:$I$89,3,0)*VLOOKUP('Données projet'!$B$12,Paramètres!$A$1:$I$89,5,0)</f>
        <v>-2.7193891583010558E-13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247.30892363953825</v>
      </c>
      <c r="CE199" s="59">
        <f t="shared" si="207"/>
        <v>248.38414731596578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0.18664992713916687</v>
      </c>
      <c r="CL199" s="21">
        <f>EXP(-LN(2)/25)*CL198+(1-EXP(-LN(2)/25))/(LN(2)/25)*Calculateur!CG199*Calculateur!CI199*VLOOKUP('Données projet'!$B$12,Paramètres!$A$1:$I$89,3,0)*0.475*44/12</f>
        <v>0.10387982045193249</v>
      </c>
      <c r="CM199" s="21">
        <f>EXP(-LN(2)/2)*CM198+(1-EXP(-LN(2)/2))/(LN(2)/2)*CG199*CJ199*VLOOKUP('Données projet'!$B$12,Paramètres!$A$1:$I$89,3,0)*0.475*44/12</f>
        <v>1.9635029677034505E-24</v>
      </c>
      <c r="CN199" s="22">
        <f t="shared" si="172"/>
        <v>0.29052974759109934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191.77102466144095</v>
      </c>
      <c r="T200" s="59">
        <f t="shared" si="204"/>
        <v>205.57161411620217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0.22746092231476747</v>
      </c>
      <c r="AA200" s="21">
        <f>EXP(-LN(2)/25)*AA199+(1-EXP(-LN(2)/25))/(LN(2)/25)*Calculateur!V200*Calculateur!X200*VLOOKUP('Données projet'!$B$9,Paramètres!$A$1:$I$89,3,0)*0.475*44/12</f>
        <v>0.12025794539082151</v>
      </c>
      <c r="AB200" s="21">
        <f>EXP(-LN(2)/2)*AB199+(1-EXP(-LN(2)/2))/(LN(2)/2)*V200*Y200*VLOOKUP('Données projet'!$B$9,Paramètres!$A$1:$I$89,3,0)*0.475*44/12</f>
        <v>3.9815160114530471E-25</v>
      </c>
      <c r="AC200" s="22">
        <f t="shared" si="163"/>
        <v>0.34771886770558896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-4.5474735088646412E-13</v>
      </c>
      <c r="AJ200" s="13">
        <f>AI200*VLOOKUP('Données projet'!$B$10,Paramètres!$A$1:$I$89,3,0)*VLOOKUP('Données projet'!$B$10,Paramètres!$A$1:$I$89,5,0)</f>
        <v>-2.7193891583010558E-13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247.30892363953825</v>
      </c>
      <c r="AO200" s="59">
        <f t="shared" si="205"/>
        <v>248.38414731596578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0.18298983591318208</v>
      </c>
      <c r="AV200" s="21">
        <f>EXP(-LN(2)/25)*AV199+(1-EXP(-LN(2)/25))/(LN(2)/25)*Calculateur!AQ200*Calculateur!AS200*VLOOKUP('Données projet'!$B$10,Paramètres!$A$1:$I$89,3,0)*0.475*44/12</f>
        <v>0.10103922129887206</v>
      </c>
      <c r="AW200" s="21">
        <f>EXP(-LN(2)/2)*AW199+(1-EXP(-LN(2)/2))/(LN(2)/2)*AQ200*AT200*VLOOKUP('Données projet'!$B$10,Paramètres!$A$1:$I$89,3,0)*0.475*44/12</f>
        <v>1.3884062633430205E-24</v>
      </c>
      <c r="AX200" s="21">
        <f t="shared" si="166"/>
        <v>0.28402905721205413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-9.1631591203622526E-14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265.97106059040101</v>
      </c>
      <c r="BJ200" s="59">
        <f t="shared" si="206"/>
        <v>240.18718869578237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0.21101291706510433</v>
      </c>
      <c r="BQ200" s="21">
        <f>EXP(-LN(2)/25)*BQ199+(1-EXP(-LN(2)/25))/(LN(2)/25)*Calculateur!BL200*Calculateur!BN200*VLOOKUP('Données projet'!$B$11,Paramètres!$A$1:$I$89,3,0)*0.475*44/12</f>
        <v>0.11196658437083057</v>
      </c>
      <c r="BR200" s="21">
        <f>EXP(-LN(2)/2)*BR199+(1-EXP(-LN(2)/2))/(LN(2)/2)*BL200*BO200*VLOOKUP('Données projet'!$B$11,Paramètres!$A$1:$I$89,3,0)*0.475*44/12</f>
        <v>1.3077418267860483E-24</v>
      </c>
      <c r="BS200" s="22">
        <f t="shared" si="169"/>
        <v>0.3229795014359349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-4.5474735088646412E-13</v>
      </c>
      <c r="BZ200" s="13">
        <f>BY200*VLOOKUP('Données projet'!$B$12,Paramètres!$A$1:$I$89,3,0)*VLOOKUP('Données projet'!$B$12,Paramètres!$A$1:$I$89,5,0)</f>
        <v>-2.7193891583010558E-13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247.30892363953825</v>
      </c>
      <c r="CE200" s="59">
        <f t="shared" si="207"/>
        <v>248.38414731596578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0.18298983591318208</v>
      </c>
      <c r="CL200" s="21">
        <f>EXP(-LN(2)/25)*CL199+(1-EXP(-LN(2)/25))/(LN(2)/25)*Calculateur!CG200*Calculateur!CI200*VLOOKUP('Données projet'!$B$12,Paramètres!$A$1:$I$89,3,0)*0.475*44/12</f>
        <v>0.10103922129887206</v>
      </c>
      <c r="CM200" s="21">
        <f>EXP(-LN(2)/2)*CM199+(1-EXP(-LN(2)/2))/(LN(2)/2)*CG200*CJ200*VLOOKUP('Données projet'!$B$12,Paramètres!$A$1:$I$89,3,0)*0.475*44/12</f>
        <v>1.3884062633430205E-24</v>
      </c>
      <c r="CN200" s="22">
        <f t="shared" si="172"/>
        <v>0.28402905721205413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191.77102466144095</v>
      </c>
      <c r="T201" s="59">
        <f t="shared" si="204"/>
        <v>205.57161411620217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0.22300055236563832</v>
      </c>
      <c r="AA201" s="21">
        <f>EXP(-LN(2)/25)*AA200+(1-EXP(-LN(2)/25))/(LN(2)/25)*Calculateur!V201*Calculateur!X201*VLOOKUP('Données projet'!$B$9,Paramètres!$A$1:$I$89,3,0)*0.475*44/12</f>
        <v>0.116969485550019</v>
      </c>
      <c r="AB201" s="21">
        <f>EXP(-LN(2)/2)*AB200+(1-EXP(-LN(2)/2))/(LN(2)/2)*V201*Y201*VLOOKUP('Données projet'!$B$9,Paramètres!$A$1:$I$89,3,0)*0.475*44/12</f>
        <v>2.8153569711012652E-25</v>
      </c>
      <c r="AC201" s="22">
        <f t="shared" si="163"/>
        <v>0.33997003791565733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-4.5474735088646412E-13</v>
      </c>
      <c r="AJ201" s="13">
        <f>AI201*VLOOKUP('Données projet'!$B$10,Paramètres!$A$1:$I$89,3,0)*VLOOKUP('Données projet'!$B$10,Paramètres!$A$1:$I$89,5,0)</f>
        <v>-2.7193891583010558E-13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247.30892363953825</v>
      </c>
      <c r="AO201" s="59">
        <f t="shared" si="205"/>
        <v>248.38414731596578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0.17940151684370365</v>
      </c>
      <c r="AV201" s="21">
        <f>EXP(-LN(2)/25)*AV200+(1-EXP(-LN(2)/25))/(LN(2)/25)*Calculateur!AQ201*Calculateur!AS201*VLOOKUP('Données projet'!$B$10,Paramètres!$A$1:$I$89,3,0)*0.475*44/12</f>
        <v>9.8276298479032687E-2</v>
      </c>
      <c r="AW201" s="21">
        <f>EXP(-LN(2)/2)*AW200+(1-EXP(-LN(2)/2))/(LN(2)/2)*AQ201*AT201*VLOOKUP('Données projet'!$B$10,Paramètres!$A$1:$I$89,3,0)*0.475*44/12</f>
        <v>9.8175148385172524E-25</v>
      </c>
      <c r="AX201" s="21">
        <f t="shared" si="166"/>
        <v>0.27767781532273633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-9.1631591203622526E-14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265.97106059040101</v>
      </c>
      <c r="BJ201" s="59">
        <f t="shared" si="206"/>
        <v>240.18718869578237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0.20687508246662847</v>
      </c>
      <c r="BQ201" s="21">
        <f>EXP(-LN(2)/25)*BQ200+(1-EXP(-LN(2)/25))/(LN(2)/25)*Calculateur!BL201*Calculateur!BN201*VLOOKUP('Données projet'!$B$11,Paramètres!$A$1:$I$89,3,0)*0.475*44/12</f>
        <v>0.10890485223314343</v>
      </c>
      <c r="BR201" s="21">
        <f>EXP(-LN(2)/2)*BR200+(1-EXP(-LN(2)/2))/(LN(2)/2)*BL201*BO201*VLOOKUP('Données projet'!$B$11,Paramètres!$A$1:$I$89,3,0)*0.475*44/12</f>
        <v>9.2471311376169817E-25</v>
      </c>
      <c r="BS201" s="22">
        <f t="shared" si="169"/>
        <v>0.31577993469977189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-4.5474735088646412E-13</v>
      </c>
      <c r="BZ201" s="13">
        <f>BY201*VLOOKUP('Données projet'!$B$12,Paramètres!$A$1:$I$89,3,0)*VLOOKUP('Données projet'!$B$12,Paramètres!$A$1:$I$89,5,0)</f>
        <v>-2.7193891583010558E-13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247.30892363953825</v>
      </c>
      <c r="CE201" s="59">
        <f t="shared" si="207"/>
        <v>248.38414731596578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0.17940151684370365</v>
      </c>
      <c r="CL201" s="21">
        <f>EXP(-LN(2)/25)*CL200+(1-EXP(-LN(2)/25))/(LN(2)/25)*Calculateur!CG201*Calculateur!CI201*VLOOKUP('Données projet'!$B$12,Paramètres!$A$1:$I$89,3,0)*0.475*44/12</f>
        <v>9.8276298479032687E-2</v>
      </c>
      <c r="CM201" s="21">
        <f>EXP(-LN(2)/2)*CM200+(1-EXP(-LN(2)/2))/(LN(2)/2)*CG201*CJ201*VLOOKUP('Données projet'!$B$12,Paramètres!$A$1:$I$89,3,0)*0.475*44/12</f>
        <v>9.8175148385172524E-25</v>
      </c>
      <c r="CN201" s="22">
        <f t="shared" si="172"/>
        <v>0.27767781532273633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191.77102466144095</v>
      </c>
      <c r="T202" s="59">
        <f t="shared" si="204"/>
        <v>205.57161411620217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0.21862764755065453</v>
      </c>
      <c r="AA202" s="21">
        <f>EXP(-LN(2)/25)*AA201+(1-EXP(-LN(2)/25))/(LN(2)/25)*Calculateur!V202*Calculateur!X202*VLOOKUP('Données projet'!$B$9,Paramètres!$A$1:$I$89,3,0)*0.475*44/12</f>
        <v>0.11377094881649583</v>
      </c>
      <c r="AB202" s="21">
        <f>EXP(-LN(2)/2)*AB201+(1-EXP(-LN(2)/2))/(LN(2)/2)*V202*Y202*VLOOKUP('Données projet'!$B$9,Paramètres!$A$1:$I$89,3,0)*0.475*44/12</f>
        <v>1.9907580057265235E-25</v>
      </c>
      <c r="AC202" s="22">
        <f t="shared" si="163"/>
        <v>0.33239859636715036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-4.5474735088646412E-13</v>
      </c>
      <c r="AJ202" s="13">
        <f>AI202*VLOOKUP('Données projet'!$B$10,Paramètres!$A$1:$I$89,3,0)*VLOOKUP('Données projet'!$B$10,Paramètres!$A$1:$I$89,5,0)</f>
        <v>-2.7193891583010558E-13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247.30892363953825</v>
      </c>
      <c r="AO202" s="59">
        <f t="shared" si="205"/>
        <v>248.38414731596578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0.17588356252251916</v>
      </c>
      <c r="AV202" s="21">
        <f>EXP(-LN(2)/25)*AV201+(1-EXP(-LN(2)/25))/(LN(2)/25)*Calculateur!AQ202*Calculateur!AS202*VLOOKUP('Données projet'!$B$10,Paramètres!$A$1:$I$89,3,0)*0.475*44/12</f>
        <v>9.5588927928997619E-2</v>
      </c>
      <c r="AW202" s="21">
        <f>EXP(-LN(2)/2)*AW201+(1-EXP(-LN(2)/2))/(LN(2)/2)*AQ202*AT202*VLOOKUP('Données projet'!$B$10,Paramètres!$A$1:$I$89,3,0)*0.475*44/12</f>
        <v>6.9420313167151024E-25</v>
      </c>
      <c r="AX202" s="21">
        <f t="shared" si="166"/>
        <v>0.27147249045151678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-9.1631591203622526E-14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265.97106059040101</v>
      </c>
      <c r="BJ202" s="59">
        <f t="shared" si="206"/>
        <v>240.18718869578237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0.20281838828079882</v>
      </c>
      <c r="BQ202" s="21">
        <f>EXP(-LN(2)/25)*BQ201+(1-EXP(-LN(2)/25))/(LN(2)/25)*Calculateur!BL202*Calculateur!BN202*VLOOKUP('Données projet'!$B$11,Paramètres!$A$1:$I$89,3,0)*0.475*44/12</f>
        <v>0.10592684332177085</v>
      </c>
      <c r="BR202" s="21">
        <f>EXP(-LN(2)/2)*BR201+(1-EXP(-LN(2)/2))/(LN(2)/2)*BL202*BO202*VLOOKUP('Données projet'!$B$11,Paramètres!$A$1:$I$89,3,0)*0.475*44/12</f>
        <v>6.5387091339302415E-25</v>
      </c>
      <c r="BS202" s="22">
        <f t="shared" si="169"/>
        <v>0.30874523160256967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-4.5474735088646412E-13</v>
      </c>
      <c r="BZ202" s="13">
        <f>BY202*VLOOKUP('Données projet'!$B$12,Paramètres!$A$1:$I$89,3,0)*VLOOKUP('Données projet'!$B$12,Paramètres!$A$1:$I$89,5,0)</f>
        <v>-2.7193891583010558E-13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247.30892363953825</v>
      </c>
      <c r="CE202" s="59">
        <f t="shared" si="207"/>
        <v>248.38414731596578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0.17588356252251916</v>
      </c>
      <c r="CL202" s="21">
        <f>EXP(-LN(2)/25)*CL201+(1-EXP(-LN(2)/25))/(LN(2)/25)*Calculateur!CG202*Calculateur!CI202*VLOOKUP('Données projet'!$B$12,Paramètres!$A$1:$I$89,3,0)*0.475*44/12</f>
        <v>9.5588927928997619E-2</v>
      </c>
      <c r="CM202" s="21">
        <f>EXP(-LN(2)/2)*CM201+(1-EXP(-LN(2)/2))/(LN(2)/2)*CG202*CJ202*VLOOKUP('Données projet'!$B$12,Paramètres!$A$1:$I$89,3,0)*0.475*44/12</f>
        <v>6.9420313167151024E-25</v>
      </c>
      <c r="CN202" s="22">
        <f t="shared" si="172"/>
        <v>0.27147249045151678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191.77102466144095</v>
      </c>
      <c r="T203" s="59">
        <f t="shared" si="204"/>
        <v>205.57161411620217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0.21434049273188402</v>
      </c>
      <c r="AA203" s="21">
        <f>EXP(-LN(2)/25)*AA202+(1-EXP(-LN(2)/25))/(LN(2)/25)*Calculateur!V203*Calculateur!X203*VLOOKUP('Données projet'!$B$9,Paramètres!$A$1:$I$89,3,0)*0.475*44/12</f>
        <v>0.11065987623815457</v>
      </c>
      <c r="AB203" s="21">
        <f>EXP(-LN(2)/2)*AB202+(1-EXP(-LN(2)/2))/(LN(2)/2)*V203*Y203*VLOOKUP('Données projet'!$B$9,Paramètres!$A$1:$I$89,3,0)*0.475*44/12</f>
        <v>1.4076784855506326E-25</v>
      </c>
      <c r="AC203" s="22">
        <f t="shared" si="163"/>
        <v>0.32500036897003859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-4.5474735088646412E-13</v>
      </c>
      <c r="AJ203" s="13">
        <f>AI203*VLOOKUP('Données projet'!$B$10,Paramètres!$A$1:$I$89,3,0)*VLOOKUP('Données projet'!$B$10,Paramètres!$A$1:$I$89,5,0)</f>
        <v>-2.7193891583010558E-13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247.30892363953825</v>
      </c>
      <c r="AO203" s="59">
        <f t="shared" si="205"/>
        <v>248.38414731596578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0.17243459313983284</v>
      </c>
      <c r="AV203" s="21">
        <f>EXP(-LN(2)/25)*AV202+(1-EXP(-LN(2)/25))/(LN(2)/25)*Calculateur!AQ203*Calculateur!AS203*VLOOKUP('Données projet'!$B$10,Paramètres!$A$1:$I$89,3,0)*0.475*44/12</f>
        <v>9.2975043667975932E-2</v>
      </c>
      <c r="AW203" s="21">
        <f>EXP(-LN(2)/2)*AW202+(1-EXP(-LN(2)/2))/(LN(2)/2)*AQ203*AT203*VLOOKUP('Données projet'!$B$10,Paramètres!$A$1:$I$89,3,0)*0.475*44/12</f>
        <v>4.9087574192586262E-25</v>
      </c>
      <c r="AX203" s="21">
        <f t="shared" si="166"/>
        <v>0.26540963680780877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-9.1631591203622526E-14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265.97106059040101</v>
      </c>
      <c r="BJ203" s="59">
        <f t="shared" si="206"/>
        <v>240.18718869578237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0.19884124339361414</v>
      </c>
      <c r="BQ203" s="21">
        <f>EXP(-LN(2)/25)*BQ202+(1-EXP(-LN(2)/25))/(LN(2)/25)*Calculateur!BL203*Calculateur!BN203*VLOOKUP('Données projet'!$B$11,Paramètres!$A$1:$I$89,3,0)*0.475*44/12</f>
        <v>0.10303026822068644</v>
      </c>
      <c r="BR203" s="21">
        <f>EXP(-LN(2)/2)*BR202+(1-EXP(-LN(2)/2))/(LN(2)/2)*BL203*BO203*VLOOKUP('Données projet'!$B$11,Paramètres!$A$1:$I$89,3,0)*0.475*44/12</f>
        <v>4.6235655688084908E-25</v>
      </c>
      <c r="BS203" s="22">
        <f t="shared" si="169"/>
        <v>0.30187151161430059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-4.5474735088646412E-13</v>
      </c>
      <c r="BZ203" s="13">
        <f>BY203*VLOOKUP('Données projet'!$B$12,Paramètres!$A$1:$I$89,3,0)*VLOOKUP('Données projet'!$B$12,Paramètres!$A$1:$I$89,5,0)</f>
        <v>-2.7193891583010558E-13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247.30892363953825</v>
      </c>
      <c r="CE203" s="59">
        <f t="shared" si="207"/>
        <v>248.38414731596578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0.17243459313983284</v>
      </c>
      <c r="CL203" s="21">
        <f>EXP(-LN(2)/25)*CL202+(1-EXP(-LN(2)/25))/(LN(2)/25)*Calculateur!CG203*Calculateur!CI203*VLOOKUP('Données projet'!$B$12,Paramètres!$A$1:$I$89,3,0)*0.475*44/12</f>
        <v>9.2975043667975932E-2</v>
      </c>
      <c r="CM203" s="21">
        <f>EXP(-LN(2)/2)*CM202+(1-EXP(-LN(2)/2))/(LN(2)/2)*CG203*CJ203*VLOOKUP('Données projet'!$B$12,Paramètres!$A$1:$I$89,3,0)*0.475*44/12</f>
        <v>4.9087574192586262E-25</v>
      </c>
      <c r="CN203" s="22">
        <f t="shared" si="172"/>
        <v>0.26540963680780877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1.3480061545972777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1.2530028811664373</v>
      </c>
      <c r="BA205" s="82">
        <f>EXP(LN('Données projet'!B88)/'Données projet'!A88)</f>
        <v>1.26078740377576</v>
      </c>
      <c r="BV205" s="82">
        <f>EXP(LN('Données projet'!B114)/'Données projet'!A114)</f>
        <v>1.2530028811664373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J21" sqref="J2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7.2589999999999986</v>
      </c>
      <c r="C6" s="147">
        <f ca="1">IF(OR('Données projet'!B9="",'Données projet'!C9="",'Données projet'!C9=0%),0,Calculateur!S3)</f>
        <v>191.77102466144095</v>
      </c>
      <c r="D6" s="147">
        <f>IF(OR('Données projet'!B9="",'Données projet'!C9="",'Données projet'!C9=0%),0,Calculateur!T3)</f>
        <v>205.57161411620217</v>
      </c>
      <c r="E6" s="147">
        <f ca="1">MIN(C6,D6)</f>
        <v>191.77102466144095</v>
      </c>
      <c r="F6" s="147">
        <f ca="1">E6*B6</f>
        <v>1392.0658680173995</v>
      </c>
      <c r="G6" s="147">
        <f ca="1">F6*(100%-'Données projet'!$C$24)*(100%-'Données projet'!$C$25)*(100%-'Données projet'!$C$26)*(100%-'Données projet'!$C$27)</f>
        <v>1064.9303890333106</v>
      </c>
      <c r="H6" s="148">
        <f>IF(OR('Données projet'!B9="",'Données projet'!C9="",'Données projet'!C9=0%),0,AVERAGE(Calculateur!$AC$3:$AC$33)*B6)</f>
        <v>52.853428857265506</v>
      </c>
      <c r="I6" s="149">
        <f>H6*(100%-'Données projet'!$C$24)*(100%-'Données projet'!$C$25)*(100%-'Données projet'!$C$26)*(100%-'Données projet'!$C$27)</f>
        <v>40.432873075808111</v>
      </c>
      <c r="J6" s="150">
        <f>IF(OR('Données projet'!B9="",'Données projet'!C9="",'Données projet'!C9=0%),0,SUM(Calculateur!$V$3:$V$33)*VLOOKUP('Données projet'!$B$9,Paramètres!$A$1:$I$89,9,0)*B6)</f>
        <v>441.1294299999999</v>
      </c>
      <c r="K6" s="151">
        <f>J6*(100%-'Données projet'!$C$24)*(100%-'Données projet'!$C$25)*(100%-'Données projet'!$C$26)*(100%-'Données projet'!$C$27)</f>
        <v>337.46401394999992</v>
      </c>
      <c r="L6" s="152">
        <f ca="1">G6+I6+K6</f>
        <v>1442.8272760591187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taeda</v>
      </c>
      <c r="B7" s="154">
        <f>'Données projet'!D10</f>
        <v>1.5554999999999999</v>
      </c>
      <c r="C7" s="147">
        <f ca="1">IF(OR('Données projet'!B10="",'Données projet'!C10="",'Données projet'!C10=0%),0,Calculateur!AN3)</f>
        <v>247.30892363953825</v>
      </c>
      <c r="D7" s="147">
        <f>IF(OR('Données projet'!B10="",'Données projet'!C10="",'Données projet'!C10=0%),0,Calculateur!AO3)</f>
        <v>248.38414731596578</v>
      </c>
      <c r="E7" s="147">
        <f t="shared" ref="E7:E15" ca="1" si="0">MIN(C7,D7)</f>
        <v>247.30892363953825</v>
      </c>
      <c r="F7" s="147">
        <f t="shared" ref="F7:F15" ca="1" si="1">E7*B7</f>
        <v>384.68903072130172</v>
      </c>
      <c r="G7" s="147">
        <f ca="1">F7*(100%-'Données projet'!$C$24)*(100%-'Données projet'!$C$25)*(100%-'Données projet'!$C$26)*(100%-'Données projet'!$C$27)</f>
        <v>294.28710850179584</v>
      </c>
      <c r="H7" s="155">
        <f>IF(OR('Données projet'!B10="",'Données projet'!C10="",'Données projet'!C10=0%),0,AVERAGE(Calculateur!$AX$3:$AX$33)*B7)</f>
        <v>2.1290212505489481</v>
      </c>
      <c r="I7" s="149">
        <f>H7*(100%-'Données projet'!$C$24)*(100%-'Données projet'!$C$25)*(100%-'Données projet'!$C$26)*(100%-'Données projet'!$C$27)</f>
        <v>1.6287012566699453</v>
      </c>
      <c r="J7" s="150">
        <f>IF(OR('Données projet'!B10="",'Données projet'!C10="",'Données projet'!C10=0%),0,SUM(Calculateur!$AQ$3:$AQ$33)*VLOOKUP('Données projet'!$B$10,Paramètres!$A$1:$I$89,9,0)*B7)</f>
        <v>48.827144999999994</v>
      </c>
      <c r="K7" s="151">
        <f>J7*(100%-'Données projet'!$C$24)*(100%-'Données projet'!$C$25)*(100%-'Données projet'!$C$26)*(100%-'Données projet'!$C$27)</f>
        <v>37.352765924999993</v>
      </c>
      <c r="L7" s="152">
        <f t="shared" ref="L7:L15" ca="1" si="2">G7+I7+K7</f>
        <v>333.26857568346577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Thuya géant</v>
      </c>
      <c r="B8" s="154">
        <f>'Données projet'!D11</f>
        <v>1.2910649999999999</v>
      </c>
      <c r="C8" s="147">
        <f ca="1">IF(OR('Données projet'!B11="",'Données projet'!C11="",'Données projet'!C11=0%),0,Calculateur!BI3)</f>
        <v>265.97106059040101</v>
      </c>
      <c r="D8" s="147">
        <f>IF(OR('Données projet'!B11="",'Données projet'!C11="",'Données projet'!C11=0%),0,Calculateur!BJ3)</f>
        <v>240.18718869578237</v>
      </c>
      <c r="E8" s="147">
        <f t="shared" ca="1" si="0"/>
        <v>240.18718869578237</v>
      </c>
      <c r="F8" s="147">
        <f t="shared" ca="1" si="1"/>
        <v>310.09727277352022</v>
      </c>
      <c r="G8" s="147">
        <f ca="1">F8*(100%-'Données projet'!$C$24)*(100%-'Données projet'!$C$25)*(100%-'Données projet'!$C$26)*(100%-'Données projet'!$C$27)</f>
        <v>237.22441367174298</v>
      </c>
      <c r="H8" s="155">
        <f>IF(OR('Données projet'!B11="",'Données projet'!C11="",'Données projet'!C11=0%),0,AVERAGE(Calculateur!$BS$3:$BS$33)*B8)</f>
        <v>1.4630811446945258</v>
      </c>
      <c r="I8" s="149">
        <f>H8*(100%-'Données projet'!$C$24)*(100%-'Données projet'!$C$25)*(100%-'Données projet'!$C$26)*(100%-'Données projet'!$C$27)</f>
        <v>1.1192570756913123</v>
      </c>
      <c r="J8" s="150">
        <f>IF(OR('Données projet'!B11="",'Données projet'!C11="",'Données projet'!C11=0%),0,SUM(Calculateur!$BL$3:$BL$33)*VLOOKUP('Données projet'!$B$11,Paramètres!$A$1:$I$89,9,0)*B8)</f>
        <v>54.405479099999994</v>
      </c>
      <c r="K8" s="151">
        <f>J8*(100%-'Données projet'!$C$24)*(100%-'Données projet'!$C$25)*(100%-'Données projet'!$C$26)*(100%-'Données projet'!$C$27)</f>
        <v>41.620191511499996</v>
      </c>
      <c r="L8" s="152">
        <f t="shared" ca="1" si="2"/>
        <v>279.96386225893428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Pin laricio</v>
      </c>
      <c r="B9" s="154">
        <f>'Données projet'!D12</f>
        <v>0.26443499999999998</v>
      </c>
      <c r="C9" s="147">
        <f ca="1">IF(OR('Données projet'!B12="",'Données projet'!C12="",'Données projet'!C12=0%),0,Calculateur!CD3)</f>
        <v>247.30892363953825</v>
      </c>
      <c r="D9" s="147">
        <f>IF(OR('Données projet'!B12="",'Données projet'!C12="",'Données projet'!C12=0%),0,Calculateur!CE3)</f>
        <v>248.38414731596578</v>
      </c>
      <c r="E9" s="147">
        <f t="shared" ca="1" si="0"/>
        <v>247.30892363953825</v>
      </c>
      <c r="F9" s="147">
        <f t="shared" ca="1" si="1"/>
        <v>65.397135222621287</v>
      </c>
      <c r="G9" s="147">
        <f ca="1">F9*(100%-'Données projet'!$C$24)*(100%-'Données projet'!$C$25)*(100%-'Données projet'!$C$26)*(100%-'Données projet'!$C$27)</f>
        <v>50.028808445305287</v>
      </c>
      <c r="H9" s="155">
        <f>IF(OR('Données projet'!B12="",'Données projet'!C12="",'Données projet'!C12=0%),0,AVERAGE(Calculateur!$CN$3:$CN$33)*B9)</f>
        <v>0.36193361259332119</v>
      </c>
      <c r="I9" s="149">
        <f>H9*(100%-'Données projet'!$C$24)*(100%-'Données projet'!$C$25)*(100%-'Données projet'!$C$26)*(100%-'Données projet'!$C$27)</f>
        <v>0.27687921363389073</v>
      </c>
      <c r="J9" s="150">
        <f>IF(OR('Données projet'!B12="",'Données projet'!C12="",'Données projet'!C12=0%),0,SUM(Calculateur!$CG$3:$CG$33)*VLOOKUP('Données projet'!$B$12,Paramètres!$A$1:$I$89,9,0)*B9)</f>
        <v>8.30061465</v>
      </c>
      <c r="K9" s="151">
        <f>J9*(100%-'Données projet'!$C$24)*(100%-'Données projet'!$C$25)*(100%-'Données projet'!$C$26)*(100%-'Données projet'!$C$27)</f>
        <v>6.3499702072500002</v>
      </c>
      <c r="L9" s="152">
        <f t="shared" ca="1" si="2"/>
        <v>56.655657866189181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2152.2493067348428</v>
      </c>
      <c r="G16" s="166">
        <f t="shared" ca="1" si="3"/>
        <v>1646.4707196521545</v>
      </c>
      <c r="H16" s="167">
        <f t="shared" si="3"/>
        <v>56.807464865102297</v>
      </c>
      <c r="I16" s="167">
        <f t="shared" si="3"/>
        <v>43.457710621803265</v>
      </c>
      <c r="J16" s="168">
        <f t="shared" si="3"/>
        <v>552.66266874999997</v>
      </c>
      <c r="K16" s="168">
        <f t="shared" si="3"/>
        <v>422.78694159374987</v>
      </c>
      <c r="L16" s="169">
        <f t="shared" ca="1" si="3"/>
        <v>2112.7153718677082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Thuya géant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P29" sqref="P29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1448.5827453089305</v>
      </c>
      <c r="U10" s="178">
        <f>'Données projet'!D9</f>
        <v>7.2589999999999986</v>
      </c>
      <c r="V10" s="177">
        <f>U10*T10</f>
        <v>10515.262148197524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1160.8724048204854</v>
      </c>
      <c r="U11" s="178">
        <f>'Données projet'!D10</f>
        <v>1.5554999999999999</v>
      </c>
      <c r="V11" s="177">
        <f t="shared" ref="V11" si="0">U11*T11</f>
        <v>1805.7370256982649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Thuya géant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2591.7627256726346</v>
      </c>
      <c r="U12" s="178">
        <f>'Données projet'!D11</f>
        <v>1.2910649999999999</v>
      </c>
      <c r="V12" s="177">
        <f t="shared" ref="V12:V19" si="1">U12*T12</f>
        <v>3346.1341434205397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1586.8224211028387</v>
      </c>
      <c r="U13" s="178">
        <f>'Données projet'!D12</f>
        <v>0.26443499999999998</v>
      </c>
      <c r="V13" s="177">
        <f t="shared" si="1"/>
        <v>419.61138692432911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>
        <v>62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1.12*700</f>
        <v>784.00000000000011</v>
      </c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61.99999999999995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1859.9999999999984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0</v>
      </c>
      <c r="I20" s="191">
        <f>1.12*2347</f>
        <v>2628.6400000000003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57"/>
      <c r="H21" s="190">
        <v>1</v>
      </c>
      <c r="I21" s="191">
        <f>300*1.12</f>
        <v>336.00000000000006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700*1.12</f>
        <v>784.00000000000011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5</v>
      </c>
      <c r="I23" s="191">
        <f>350*1.12</f>
        <v>392.00000000000006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-24892.886704482946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15</v>
      </c>
      <c r="C24" s="193">
        <v>8</v>
      </c>
      <c r="D24" s="182">
        <f t="shared" ref="D24:D42" si="2">B24*C24</f>
        <v>120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1259.1622440150779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22</v>
      </c>
      <c r="C25" s="193">
        <v>8</v>
      </c>
      <c r="D25" s="182">
        <f t="shared" si="2"/>
        <v>176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-26152.048948498024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31</v>
      </c>
      <c r="C26" s="193">
        <v>15</v>
      </c>
      <c r="D26" s="182">
        <f t="shared" si="2"/>
        <v>465</v>
      </c>
      <c r="E26" s="193"/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35</v>
      </c>
      <c r="C27" s="193">
        <v>20</v>
      </c>
      <c r="D27" s="182">
        <f t="shared" si="2"/>
        <v>700</v>
      </c>
      <c r="E27" s="193"/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46</v>
      </c>
      <c r="C28" s="193">
        <v>25</v>
      </c>
      <c r="D28" s="182">
        <f t="shared" si="2"/>
        <v>1150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41</v>
      </c>
      <c r="C29" s="193">
        <v>32</v>
      </c>
      <c r="D29" s="182">
        <f t="shared" si="2"/>
        <v>1312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29</v>
      </c>
      <c r="C30" s="193">
        <v>40</v>
      </c>
      <c r="D30" s="182">
        <f t="shared" si="2"/>
        <v>1160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16</v>
      </c>
      <c r="C31" s="193">
        <v>45</v>
      </c>
      <c r="D31" s="182">
        <f t="shared" si="2"/>
        <v>720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316</v>
      </c>
      <c r="C32" s="193">
        <v>50</v>
      </c>
      <c r="D32" s="182">
        <f t="shared" si="2"/>
        <v>15800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1.12*159</f>
        <v>178.08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3</v>
      </c>
      <c r="C54" s="191">
        <v>8</v>
      </c>
      <c r="D54" s="179">
        <f>B54*C54</f>
        <v>24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70</v>
      </c>
      <c r="C55" s="191">
        <v>15</v>
      </c>
      <c r="D55" s="179">
        <f t="shared" ref="D55:D73" si="4">B55*C55</f>
        <v>1050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70</v>
      </c>
      <c r="C56" s="191">
        <v>22</v>
      </c>
      <c r="D56" s="179">
        <f t="shared" si="4"/>
        <v>1540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70</v>
      </c>
      <c r="C57" s="191">
        <v>30</v>
      </c>
      <c r="D57" s="179">
        <f t="shared" si="4"/>
        <v>2100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57</v>
      </c>
      <c r="C58" s="191">
        <v>37</v>
      </c>
      <c r="D58" s="179">
        <f t="shared" si="4"/>
        <v>2109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44</v>
      </c>
      <c r="C59" s="191">
        <v>41</v>
      </c>
      <c r="D59" s="179">
        <f t="shared" si="4"/>
        <v>1804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450</v>
      </c>
      <c r="C60" s="191">
        <v>45</v>
      </c>
      <c r="D60" s="179">
        <f t="shared" si="4"/>
        <v>20250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Thuya géant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1.12*279</f>
        <v>312.48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98</v>
      </c>
      <c r="C86" s="191">
        <v>10</v>
      </c>
      <c r="D86" s="179">
        <f t="shared" ref="D86:D104" si="6">B86*C86</f>
        <v>980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112</v>
      </c>
      <c r="C87" s="191">
        <v>17</v>
      </c>
      <c r="D87" s="179">
        <f t="shared" si="6"/>
        <v>1904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112</v>
      </c>
      <c r="C88" s="191">
        <v>25</v>
      </c>
      <c r="D88" s="179">
        <f t="shared" si="6"/>
        <v>2800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106</v>
      </c>
      <c r="C89" s="191">
        <v>35</v>
      </c>
      <c r="D89" s="179">
        <f t="shared" si="6"/>
        <v>3710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85</v>
      </c>
      <c r="C90" s="191">
        <v>50</v>
      </c>
      <c r="D90" s="179">
        <f t="shared" si="6"/>
        <v>4250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747</v>
      </c>
      <c r="C91" s="191">
        <v>70</v>
      </c>
      <c r="D91" s="179">
        <f t="shared" si="6"/>
        <v>52290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1.12*29</f>
        <v>32.480000000000004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3</v>
      </c>
      <c r="C116" s="191">
        <v>8</v>
      </c>
      <c r="D116" s="179">
        <f>B116*C116</f>
        <v>24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70</v>
      </c>
      <c r="C117" s="191">
        <v>15</v>
      </c>
      <c r="D117" s="179">
        <f t="shared" ref="D117:D135" si="8">B117*C117</f>
        <v>1050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70</v>
      </c>
      <c r="C118" s="191">
        <v>22</v>
      </c>
      <c r="D118" s="179">
        <f t="shared" si="8"/>
        <v>1540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70</v>
      </c>
      <c r="C119" s="191">
        <v>30</v>
      </c>
      <c r="D119" s="179">
        <f t="shared" si="8"/>
        <v>2100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57</v>
      </c>
      <c r="C120" s="191">
        <v>37</v>
      </c>
      <c r="D120" s="179">
        <f t="shared" si="8"/>
        <v>2109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44</v>
      </c>
      <c r="C121" s="191">
        <v>41</v>
      </c>
      <c r="D121" s="179">
        <f t="shared" si="8"/>
        <v>1804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450</v>
      </c>
      <c r="C122" s="191">
        <v>45</v>
      </c>
      <c r="D122" s="179">
        <f t="shared" si="8"/>
        <v>20250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Kevin BRICE</cp:lastModifiedBy>
  <dcterms:created xsi:type="dcterms:W3CDTF">2021-02-01T08:22:39Z</dcterms:created>
  <dcterms:modified xsi:type="dcterms:W3CDTF">2023-10-18T12:25:25Z</dcterms:modified>
</cp:coreProperties>
</file>