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EST (LW)/2MAUP-122/"/>
    </mc:Choice>
  </mc:AlternateContent>
  <xr:revisionPtr revIDLastSave="56" documentId="8_{EFD1B1D8-A53C-4685-B6A3-7C4DDDB0DB45}" xr6:coauthVersionLast="47" xr6:coauthVersionMax="47" xr10:uidLastSave="{CCDCDD02-2603-4114-9CD5-2E72E24A28C9}"/>
  <bookViews>
    <workbookView xWindow="-108" yWindow="-108" windowWidth="23256" windowHeight="12456" tabRatio="693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I22" i="6"/>
  <c r="I21" i="6"/>
  <c r="E50" i="6"/>
  <c r="E48" i="6"/>
  <c r="E19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X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<sst xmlns="http://schemas.openxmlformats.org/spreadsheetml/2006/main" count="1174" uniqueCount="327">
  <si>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</si>
  <si>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</si>
  <si>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</si>
  <si>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</si>
  <si>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</si>
  <si>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</si>
  <si>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</si>
  <si>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</si>
  <si>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</si>
  <si>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</si>
  <si>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</si>
  <si>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</si>
  <si>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</si>
  <si>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</si>
  <si>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</si>
  <si>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</si>
  <si>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</si>
  <si>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</si>
  <si>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</si>
  <si>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</si>
  <si>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</si>
  <si>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</si>
  <si>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</si>
  <si>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</si>
  <si>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</si>
  <si>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</si>
  <si>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</si>
  <si>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</si>
  <si>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</si>
  <si>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</si>
  <si>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</si>
  <si>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</si>
  <si>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</si>
  <si>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</si>
  <si>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</si>
  <si>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</si>
  <si>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</si>
  <si>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</si>
  <si>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</si>
  <si>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</si>
  <si>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</si>
  <si>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</si>
  <si>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</si>
  <si>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</si>
  <si>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</si>
  <si>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</si>
  <si>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</si>
  <si>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</si>
  <si>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</si>
  <si>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</si>
  <si>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</si>
  <si>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</si>
  <si>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</si>
  <si>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</si>
  <si>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</si>
  <si>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</si>
  <si>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</si>
  <si>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</si>
  <si>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</si>
  <si>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</si>
  <si>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</si>
  <si>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</si>
  <si>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</si>
  <si>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</si>
  <si>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</si>
  <si>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</si>
  <si>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</si>
  <si>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</si>
  <si>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</si>
  <si>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</si>
  <si>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</si>
  <si>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</si>
  <si>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</si>
  <si>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</si>
  <si>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</si>
  <si>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</si>
  <si>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</si>
  <si>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</si>
  <si>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</si>
  <si>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</si>
  <si>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</si>
  <si>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</si>
  <si>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</si>
  <si>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</si>
  <si>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</si>
  <si>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</si>
  <si>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</si>
  <si>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</si>
  <si>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</si>
  <si>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</si>
  <si>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</si>
  <si>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</si>
  <si>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</si>
  <si>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</si>
  <si>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</si>
  <si>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</si>
  <si>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</si>
  <si>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</si>
  <si>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</si>
  <si>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</si>
  <si>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</si>
  <si>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</si>
  <si>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</si>
  <si>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</si>
  <si>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</si>
  <si>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</si>
  <si>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</si>
  <si>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</si>
  <si>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</si>
  <si>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</si>
  <si>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</si>
  <si>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</si>
  <si>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</si>
  <si>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</si>
  <si>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</si>
  <si>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</si>
  <si>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</si>
  <si>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</si>
  <si>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</si>
  <si>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</si>
  <si>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</si>
  <si>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</si>
  <si>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</si>
  <si>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</si>
  <si>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</si>
  <si>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</si>
  <si>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</si>
  <si>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</si>
  <si>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</si>
  <si>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</si>
  <si>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</si>
  <si>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</si>
  <si>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</si>
  <si>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</si>
  <si>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</si>
  <si>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</si>
  <si>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</si>
  <si>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</si>
  <si>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</si>
  <si>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</si>
  <si>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</si>
  <si>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</si>
  <si>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</si>
  <si>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</si>
  <si>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</si>
  <si>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</si>
  <si>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</si>
  <si>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</si>
  <si>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</si>
  <si>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</si>
  <si>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</si>
  <si>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</si>
  <si>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</si>
  <si>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</si>
  <si>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</si>
  <si>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</si>
  <si>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</si>
  <si>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</si>
  <si>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</si>
  <si>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</si>
  <si>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</si>
  <si>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</si>
  <si>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</si>
  <si>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</si>
  <si>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</si>
  <si>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</si>
  <si>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</si>
  <si>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</si>
  <si>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</si>
  <si>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</si>
  <si>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</si>
  <si>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</si>
  <si>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</si>
  <si>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</si>
  <si>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</si>
  <si>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</si>
  <si>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</si>
  <si>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</si>
  <si>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</si>
  <si>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</si>
  <si>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</si>
  <si>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</si>
  <si>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</si>
  <si>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</si>
  <si>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</si>
  <si>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</si>
  <si>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</si>
  <si>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</si>
  <si>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</si>
  <si>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</si>
  <si>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</si>
  <si>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</si>
  <si>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</si>
  <si>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</si>
  <si>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</si>
  <si>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</si>
  <si>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</si>
  <si>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</si>
  <si>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</si>
  <si>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</si>
  <si>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</si>
  <si>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</si>
  <si>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</si>
  <si>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</si>
  <si>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</si>
  <si>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</si>
  <si>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</si>
  <si>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</si>
  <si>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</si>
  <si>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</si>
  <si>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</si>
  <si>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</si>
  <si>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</si>
  <si>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</si>
  <si>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</si>
  <si>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</si>
  <si>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</si>
  <si>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</si>
  <si>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</si>
  <si>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</si>
  <si>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</si>
  <si>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</si>
  <si>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</si>
  <si>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</si>
  <si>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</si>
  <si>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</si>
  <si>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</si>
  <si>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</si>
  <si>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</si>
  <si>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</si>
  <si>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</si>
  <si>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</si>
  <si>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</si>
  <si>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</si>
  <si>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</si>
  <si>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</si>
  <si>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</si>
  <si>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</si>
  <si>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</si>
  <si>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</si>
  <si>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</si>
  <si>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</si>
  <si>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</si>
  <si>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</si>
  <si>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</si>
  <si>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</si>
  <si>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</si>
  <si>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</si>
  <si>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</si>
  <si>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</si>
  <si>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</si>
  <si>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</si>
  <si>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</si>
  <si>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</si>
  <si>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</si>
  <si>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</si>
  <si>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</si>
  <si>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</si>
  <si>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</si>
  <si>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</si>
  <si>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</si>
  <si>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</si>
  <si>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</si>
  <si>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</si>
  <si>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</si>
  <si>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</si>
  <si>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</si>
  <si>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</si>
  <si>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</si>
  <si>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</si>
  <si>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</si>
  <si>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</si>
  <si>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</si>
  <si>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</si>
  <si>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</si>
  <si>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</si>
  <si>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</si>
  <si>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</si>
  <si>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</si>
  <si>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</si>
  <si>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</si>
  <si>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</si>
  <si>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</si>
  <si>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</si>
  <si>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</si>
  <si>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</si>
  <si>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</si>
  <si>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</si>
  <si>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</si>
  <si>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</si>
  <si>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</si>
  <si>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</si>
  <si>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</si>
  <si>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</si>
  <si>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</si>
  <si>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</si>
  <si>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</si>
  <si>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</si>
  <si>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</si>
  <si>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</si>
  <si>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</si>
  <si>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</si>
  <si>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</si>
  <si>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</si>
  <si>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</si>
  <si>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</si>
  <si>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</si>
  <si>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</si>
  <si>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</si>
  <si>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</si>
  <si>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</si>
  <si>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</si>
  <si>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 xml:space="preserve">Ajout coût maitrise d'œuvre + étude de cas en année 1 </t>
  </si>
  <si>
    <t>Volume (m³/ha)</t>
  </si>
  <si>
    <t>Ajout coût rédaction DGD en année 2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</si>
  <si>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</si>
  <si>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</si>
  <si>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</si>
  <si>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</si>
  <si>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</si>
  <si>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</si>
  <si>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</si>
  <si>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</si>
  <si>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</si>
  <si>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</si>
  <si>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</si>
  <si>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2MAUP-122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</si>
</sst>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Normal 2 2" xfId="3" xr:uid="{BA0195D7-A1DD-4ACB-B265-30E3B5830346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9.888909613332638</c:v>
                </c:pt>
                <c:pt idx="2">
                  <c:v>19.346691266345697</c:v>
                </c:pt>
                <c:pt idx="3">
                  <c:v>28.665240229445349</c:v>
                </c:pt>
                <c:pt idx="4">
                  <c:v>37.897962922895054</c:v>
                </c:pt>
                <c:pt idx="5">
                  <c:v>47.069064887136427</c:v>
                </c:pt>
                <c:pt idx="6">
                  <c:v>56.192353973046885</c:v>
                </c:pt>
                <c:pt idx="7">
                  <c:v>65.276731568198812</c:v>
                </c:pt>
                <c:pt idx="8">
                  <c:v>74.328397840462898</c:v>
                </c:pt>
                <c:pt idx="9">
                  <c:v>83.351909992096594</c:v>
                </c:pt>
                <c:pt idx="10">
                  <c:v>92.350753102885804</c:v>
                </c:pt>
                <c:pt idx="11">
                  <c:v>101.3276749022087</c:v>
                </c:pt>
                <c:pt idx="12">
                  <c:v>110.28489487760773</c:v>
                </c:pt>
                <c:pt idx="13">
                  <c:v>119.22424150794426</c:v>
                </c:pt>
                <c:pt idx="14">
                  <c:v>128.14724598773714</c:v>
                </c:pt>
                <c:pt idx="15">
                  <c:v>137.05520837447355</c:v>
                </c:pt>
                <c:pt idx="16">
                  <c:v>145.94924557794175</c:v>
                </c:pt>
                <c:pt idx="17">
                  <c:v>154.83032700321354</c:v>
                </c:pt>
                <c:pt idx="18">
                  <c:v>163.6993015650699</c:v>
                </c:pt>
                <c:pt idx="19">
                  <c:v>172.5569185271149</c:v>
                </c:pt>
                <c:pt idx="20">
                  <c:v>181.40384382855089</c:v>
                </c:pt>
                <c:pt idx="21">
                  <c:v>190.24067305280312</c:v>
                </c:pt>
                <c:pt idx="22">
                  <c:v>199.0679418559404</c:v>
                </c:pt>
                <c:pt idx="23">
                  <c:v>207.88613444542167</c:v>
                </c:pt>
                <c:pt idx="24">
                  <c:v>216.69569054266981</c:v>
                </c:pt>
                <c:pt idx="25">
                  <c:v>225.49701115251855</c:v>
                </c:pt>
                <c:pt idx="26">
                  <c:v>234.29046338356258</c:v>
                </c:pt>
                <c:pt idx="27">
                  <c:v>243.07638450605646</c:v>
                </c:pt>
                <c:pt idx="28">
                  <c:v>251.8550853917441</c:v>
                </c:pt>
                <c:pt idx="29">
                  <c:v>260.62685344847432</c:v>
                </c:pt>
                <c:pt idx="30">
                  <c:v>269.39195513866986</c:v>
                </c:pt>
                <c:pt idx="31">
                  <c:v>278.15063815256826</c:v>
                </c:pt>
                <c:pt idx="32">
                  <c:v>286.90313329316626</c:v>
                </c:pt>
                <c:pt idx="33">
                  <c:v>295.64965611892836</c:v>
                </c:pt>
                <c:pt idx="34">
                  <c:v>304.39040838178391</c:v>
                </c:pt>
                <c:pt idx="35">
                  <c:v>313.12557929119436</c:v>
                </c:pt>
                <c:pt idx="36">
                  <c:v>321.85534662969513</c:v>
                </c:pt>
                <c:pt idx="37">
                  <c:v>330.57987774100428</c:v>
                </c:pt>
                <c:pt idx="38">
                  <c:v>339.29933040830338</c:v>
                </c:pt>
                <c:pt idx="39">
                  <c:v>348.01385363746869</c:v>
                </c:pt>
                <c:pt idx="40">
                  <c:v>356.7235883577091</c:v>
                </c:pt>
                <c:pt idx="41">
                  <c:v>210.4649910771841</c:v>
                </c:pt>
                <c:pt idx="42">
                  <c:v>227.58442657042193</c:v>
                </c:pt>
                <c:pt idx="43">
                  <c:v>244.67439289713727</c:v>
                </c:pt>
                <c:pt idx="44">
                  <c:v>261.73723814083121</c:v>
                </c:pt>
                <c:pt idx="45">
                  <c:v>278.77497910166738</c:v>
                </c:pt>
                <c:pt idx="46">
                  <c:v>295.78936585886646</c:v>
                </c:pt>
                <c:pt idx="47">
                  <c:v>312.78193068303744</c:v>
                </c:pt>
                <c:pt idx="48">
                  <c:v>245.66372905936669</c:v>
                </c:pt>
                <c:pt idx="49">
                  <c:v>262.04685499835045</c:v>
                </c:pt>
                <c:pt idx="50">
                  <c:v>278.40686715373823</c:v>
                </c:pt>
                <c:pt idx="51">
                  <c:v>294.74531489722835</c:v>
                </c:pt>
                <c:pt idx="52">
                  <c:v>311.06356177161734</c:v>
                </c:pt>
                <c:pt idx="53">
                  <c:v>327.36281656375462</c:v>
                </c:pt>
                <c:pt idx="54">
                  <c:v>343.64415786130394</c:v>
                </c:pt>
                <c:pt idx="55">
                  <c:v>359.90855371002232</c:v>
                </c:pt>
                <c:pt idx="56">
                  <c:v>278.34863375480523</c:v>
                </c:pt>
                <c:pt idx="57">
                  <c:v>293.64994193751153</c:v>
                </c:pt>
                <c:pt idx="58">
                  <c:v>308.93345977509779</c:v>
                </c:pt>
                <c:pt idx="59">
                  <c:v>324.20019130276779</c:v>
                </c:pt>
                <c:pt idx="60">
                  <c:v>339.45103826613359</c:v>
                </c:pt>
                <c:pt idx="61">
                  <c:v>354.68681476639807</c:v>
                </c:pt>
                <c:pt idx="62">
                  <c:v>369.90825925675563</c:v>
                </c:pt>
                <c:pt idx="63">
                  <c:v>385.11604446055617</c:v>
                </c:pt>
                <c:pt idx="64">
                  <c:v>312.00264011024768</c:v>
                </c:pt>
                <c:pt idx="65">
                  <c:v>326.10558498416952</c:v>
                </c:pt>
                <c:pt idx="66">
                  <c:v>340.19506158366244</c:v>
                </c:pt>
                <c:pt idx="67">
                  <c:v>354.27170629896153</c:v>
                </c:pt>
                <c:pt idx="68">
                  <c:v>368.33610081587722</c:v>
                </c:pt>
                <c:pt idx="69">
                  <c:v>382.38877877143813</c:v>
                </c:pt>
                <c:pt idx="70">
                  <c:v>396.43023137989303</c:v>
                </c:pt>
                <c:pt idx="71">
                  <c:v>410.46091221992441</c:v>
                </c:pt>
                <c:pt idx="72">
                  <c:v>342.90996050444522</c:v>
                </c:pt>
                <c:pt idx="73">
                  <c:v>356.17339507196812</c:v>
                </c:pt>
                <c:pt idx="74">
                  <c:v>369.42601760005567</c:v>
                </c:pt>
                <c:pt idx="75">
                  <c:v>382.66827062557246</c:v>
                </c:pt>
                <c:pt idx="76">
                  <c:v>395.90056355571431</c:v>
                </c:pt>
                <c:pt idx="77">
                  <c:v>409.12327619596209</c:v>
                </c:pt>
                <c:pt idx="78">
                  <c:v>422.33676179810942</c:v>
                </c:pt>
                <c:pt idx="79">
                  <c:v>435.54134970692661</c:v>
                </c:pt>
                <c:pt idx="80">
                  <c:v>372.16871843627945</c:v>
                </c:pt>
                <c:pt idx="81">
                  <c:v>384.90190454951352</c:v>
                </c:pt>
                <c:pt idx="82">
                  <c:v>397.62594026696132</c:v>
                </c:pt>
                <c:pt idx="83">
                  <c:v>410.34115967882798</c:v>
                </c:pt>
                <c:pt idx="84">
                  <c:v>423.04787447996387</c:v>
                </c:pt>
                <c:pt idx="85">
                  <c:v>435.74637611290126</c:v>
                </c:pt>
                <c:pt idx="86">
                  <c:v>448.43693764805016</c:v>
                </c:pt>
                <c:pt idx="87">
                  <c:v>461.1198154399699</c:v>
                </c:pt>
                <c:pt idx="88">
                  <c:v>473.79525059193207</c:v>
                </c:pt>
                <c:pt idx="89">
                  <c:v>407.91600798982876</c:v>
                </c:pt>
                <c:pt idx="90">
                  <c:v>420.18830739762547</c:v>
                </c:pt>
                <c:pt idx="91">
                  <c:v>432.45288819351839</c:v>
                </c:pt>
                <c:pt idx="92">
                  <c:v>444.71000013737711</c:v>
                </c:pt>
                <c:pt idx="93">
                  <c:v>456.95987809788289</c:v>
                </c:pt>
                <c:pt idx="94">
                  <c:v>469.20274332420655</c:v>
                </c:pt>
                <c:pt idx="95">
                  <c:v>481.43880457805045</c:v>
                </c:pt>
                <c:pt idx="96">
                  <c:v>493.66825914461907</c:v>
                </c:pt>
                <c:pt idx="97">
                  <c:v>505.89129373820583</c:v>
                </c:pt>
                <c:pt idx="98">
                  <c:v>433.05780250093056</c:v>
                </c:pt>
                <c:pt idx="99">
                  <c:v>445.0075819602518</c:v>
                </c:pt>
                <c:pt idx="100">
                  <c:v>456.95049066071874</c:v>
                </c:pt>
                <c:pt idx="101">
                  <c:v>468.88673348780975</c:v>
                </c:pt>
                <c:pt idx="102">
                  <c:v>480.81650404480843</c:v>
                </c:pt>
                <c:pt idx="103">
                  <c:v>492.73998554450594</c:v>
                </c:pt>
                <c:pt idx="104">
                  <c:v>504.65735161010639</c:v>
                </c:pt>
                <c:pt idx="105">
                  <c:v>516.56876699654856</c:v>
                </c:pt>
                <c:pt idx="106">
                  <c:v>528.47438824184292</c:v>
                </c:pt>
                <c:pt idx="107">
                  <c:v>540.37436425667067</c:v>
                </c:pt>
                <c:pt idx="108">
                  <c:v>474.36700877164861</c:v>
                </c:pt>
                <c:pt idx="109">
                  <c:v>486.37057298800784</c:v>
                </c:pt>
                <c:pt idx="110">
                  <c:v>498.36785003263429</c:v>
                </c:pt>
                <c:pt idx="111">
                  <c:v>510.35901257553201</c:v>
                </c:pt>
                <c:pt idx="112">
                  <c:v>522.34422451182525</c:v>
                </c:pt>
                <c:pt idx="113">
                  <c:v>534.32364160304689</c:v>
                </c:pt>
                <c:pt idx="114">
                  <c:v>546.29741205793403</c:v>
                </c:pt>
                <c:pt idx="115">
                  <c:v>558.2656770596667</c:v>
                </c:pt>
                <c:pt idx="116">
                  <c:v>570.22857124555276</c:v>
                </c:pt>
                <c:pt idx="117">
                  <c:v>582.18622314437573</c:v>
                </c:pt>
                <c:pt idx="118">
                  <c:v>512.42719156619683</c:v>
                </c:pt>
                <c:pt idx="119">
                  <c:v>524.72473987722731</c:v>
                </c:pt>
                <c:pt idx="120">
                  <c:v>537.01621785858867</c:v>
                </c:pt>
                <c:pt idx="121">
                  <c:v>549.30178400465024</c:v>
                </c:pt>
                <c:pt idx="122">
                  <c:v>561.58158914342755</c:v>
                </c:pt>
                <c:pt idx="123">
                  <c:v>573.85577697045733</c:v>
                </c:pt>
                <c:pt idx="124">
                  <c:v>586.12448453463287</c:v>
                </c:pt>
                <c:pt idx="125">
                  <c:v>598.38784268126039</c:v>
                </c:pt>
                <c:pt idx="126">
                  <c:v>610.64597645691981</c:v>
                </c:pt>
                <c:pt idx="127">
                  <c:v>622.89900548013622</c:v>
                </c:pt>
                <c:pt idx="128">
                  <c:v>635.14704428138418</c:v>
                </c:pt>
                <c:pt idx="129">
                  <c:v>647.39020261550957</c:v>
                </c:pt>
                <c:pt idx="130">
                  <c:v>556.89247696686721</c:v>
                </c:pt>
                <c:pt idx="131">
                  <c:v>569.50167077194646</c:v>
                </c:pt>
                <c:pt idx="132">
                  <c:v>582.10503245961092</c:v>
                </c:pt>
                <c:pt idx="133">
                  <c:v>594.70270605837175</c:v>
                </c:pt>
                <c:pt idx="134">
                  <c:v>607.29482899925699</c:v>
                </c:pt>
                <c:pt idx="135">
                  <c:v>619.8815325514189</c:v>
                </c:pt>
                <c:pt idx="136">
                  <c:v>632.46294222053496</c:v>
                </c:pt>
                <c:pt idx="137">
                  <c:v>645.03917811387498</c:v>
                </c:pt>
                <c:pt idx="138">
                  <c:v>657.61035527543129</c:v>
                </c:pt>
                <c:pt idx="139">
                  <c:v>670.17658399410118</c:v>
                </c:pt>
                <c:pt idx="140">
                  <c:v>682.73797008756821</c:v>
                </c:pt>
                <c:pt idx="141">
                  <c:v>695.29461516421532</c:v>
                </c:pt>
                <c:pt idx="142">
                  <c:v>599.60657056469756</c:v>
                </c:pt>
                <c:pt idx="143">
                  <c:v>612.18861644158153</c:v>
                </c:pt>
                <c:pt idx="144">
                  <c:v>624.76529916770949</c:v>
                </c:pt>
                <c:pt idx="145">
                  <c:v>637.33674187645386</c:v>
                </c:pt>
                <c:pt idx="146">
                  <c:v>649.90306244952944</c:v>
                </c:pt>
                <c:pt idx="147">
                  <c:v>662.46437384031492</c:v>
                </c:pt>
                <c:pt idx="148">
                  <c:v>675.0207843713905</c:v>
                </c:pt>
                <c:pt idx="149">
                  <c:v>687.57239800879415</c:v>
                </c:pt>
                <c:pt idx="150">
                  <c:v>700.11931461522727</c:v>
                </c:pt>
                <c:pt idx="151">
                  <c:v>712.66163018417092</c:v>
                </c:pt>
                <c:pt idx="152">
                  <c:v>725.1994370566789</c:v>
                </c:pt>
                <c:pt idx="153">
                  <c:v>737.73282412240678</c:v>
                </c:pt>
                <c:pt idx="154">
                  <c:v>386.24344845334514</c:v>
                </c:pt>
                <c:pt idx="155">
                  <c:v>392.11058159758119</c:v>
                </c:pt>
                <c:pt idx="156">
                  <c:v>397.97581080974192</c:v>
                </c:pt>
                <c:pt idx="157">
                  <c:v>403.83916813458592</c:v>
                </c:pt>
                <c:pt idx="158">
                  <c:v>270.41660419223905</c:v>
                </c:pt>
                <c:pt idx="159">
                  <c:v>274.2473404725406</c:v>
                </c:pt>
                <c:pt idx="160">
                  <c:v>278.0768742763251</c:v>
                </c:pt>
                <c:pt idx="161">
                  <c:v>281.9052245321493</c:v>
                </c:pt>
                <c:pt idx="162">
                  <c:v>192.45693114442471</c:v>
                </c:pt>
                <c:pt idx="163">
                  <c:v>194.92798512218789</c:v>
                </c:pt>
                <c:pt idx="164">
                  <c:v>197.39831097410561</c:v>
                </c:pt>
                <c:pt idx="165">
                  <c:v>199.86791912482906</c:v>
                </c:pt>
                <c:pt idx="166">
                  <c:v>1.1948126994655288E-12</c:v>
                </c:pt>
                <c:pt idx="167">
                  <c:v>1.1948126994655288E-12</c:v>
                </c:pt>
                <c:pt idx="168">
                  <c:v>1.1948126994655288E-12</c:v>
                </c:pt>
                <c:pt idx="169">
                  <c:v>1.1948126994655288E-12</c:v>
                </c:pt>
                <c:pt idx="170">
                  <c:v>1.1948126994655288E-12</c:v>
                </c:pt>
                <c:pt idx="171">
                  <c:v>1.1948126994655288E-12</c:v>
                </c:pt>
                <c:pt idx="172">
                  <c:v>1.1948126994655288E-12</c:v>
                </c:pt>
                <c:pt idx="173">
                  <c:v>1.1948126994655288E-12</c:v>
                </c:pt>
                <c:pt idx="174">
                  <c:v>1.1948126994655288E-12</c:v>
                </c:pt>
                <c:pt idx="175">
                  <c:v>1.1948126994655288E-12</c:v>
                </c:pt>
                <c:pt idx="176">
                  <c:v>1.1948126994655288E-12</c:v>
                </c:pt>
                <c:pt idx="177">
                  <c:v>1.1948126994655288E-12</c:v>
                </c:pt>
                <c:pt idx="178">
                  <c:v>1.1948126994655288E-12</c:v>
                </c:pt>
                <c:pt idx="179">
                  <c:v>1.1948126994655288E-12</c:v>
                </c:pt>
                <c:pt idx="180">
                  <c:v>1.1948126994655288E-12</c:v>
                </c:pt>
                <c:pt idx="181">
                  <c:v>1.1948126994655288E-12</c:v>
                </c:pt>
                <c:pt idx="182">
                  <c:v>1.1948126994655288E-12</c:v>
                </c:pt>
                <c:pt idx="183">
                  <c:v>1.1948126994655288E-12</c:v>
                </c:pt>
                <c:pt idx="184">
                  <c:v>1.1948126994655288E-12</c:v>
                </c:pt>
                <c:pt idx="185">
                  <c:v>1.1948126994655288E-12</c:v>
                </c:pt>
                <c:pt idx="186">
                  <c:v>1.1948126994655288E-12</c:v>
                </c:pt>
                <c:pt idx="187">
                  <c:v>1.1948126994655288E-12</c:v>
                </c:pt>
                <c:pt idx="188">
                  <c:v>1.1948126994655288E-12</c:v>
                </c:pt>
                <c:pt idx="189">
                  <c:v>1.1948126994655288E-12</c:v>
                </c:pt>
                <c:pt idx="190">
                  <c:v>1.1948126994655288E-12</c:v>
                </c:pt>
                <c:pt idx="191">
                  <c:v>1.1948126994655288E-12</c:v>
                </c:pt>
                <c:pt idx="192">
                  <c:v>1.1948126994655288E-12</c:v>
                </c:pt>
                <c:pt idx="193">
                  <c:v>1.1948126994655288E-12</c:v>
                </c:pt>
                <c:pt idx="194">
                  <c:v>1.1948126994655288E-12</c:v>
                </c:pt>
                <c:pt idx="195">
                  <c:v>1.1948126994655288E-12</c:v>
                </c:pt>
                <c:pt idx="196">
                  <c:v>1.1948126994655288E-12</c:v>
                </c:pt>
                <c:pt idx="197">
                  <c:v>1.1948126994655288E-12</c:v>
                </c:pt>
                <c:pt idx="198">
                  <c:v>1.1948126994655288E-12</c:v>
                </c:pt>
                <c:pt idx="199">
                  <c:v>1.1948126994655288E-12</c:v>
                </c:pt>
                <c:pt idx="200">
                  <c:v>1.1948126994655288E-12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7.8416812518275494</c:v>
                </c:pt>
                <c:pt idx="2">
                  <c:v>15.334584394665216</c:v>
                </c:pt>
                <c:pt idx="3">
                  <c:v>22.714849715865025</c:v>
                </c:pt>
                <c:pt idx="4">
                  <c:v>30.025682463014238</c:v>
                </c:pt>
                <c:pt idx="5">
                  <c:v>37.286664670681112</c:v>
                </c:pt>
                <c:pt idx="6">
                  <c:v>44.508966748956091</c:v>
                </c:pt>
                <c:pt idx="7">
                  <c:v>51.699789829314369</c:v>
                </c:pt>
                <c:pt idx="8">
                  <c:v>58.864149784128841</c:v>
                </c:pt>
                <c:pt idx="9">
                  <c:v>66.005733343400635</c:v>
                </c:pt>
                <c:pt idx="10">
                  <c:v>73.127359901020441</c:v>
                </c:pt>
                <c:pt idx="11">
                  <c:v>80.231252341942835</c:v>
                </c:pt>
                <c:pt idx="12">
                  <c:v>87.319206208881965</c:v>
                </c:pt>
                <c:pt idx="13">
                  <c:v>94.392700722529355</c:v>
                </c:pt>
                <c:pt idx="14">
                  <c:v>101.45297460358488</c:v>
                </c:pt>
                <c:pt idx="15">
                  <c:v>108.50107958525473</c:v>
                </c:pt>
                <c:pt idx="16">
                  <c:v>115.53791923613043</c:v>
                </c:pt>
                <c:pt idx="17">
                  <c:v>122.56427779499695</c:v>
                </c:pt>
                <c:pt idx="18">
                  <c:v>129.58084202522676</c:v>
                </c:pt>
                <c:pt idx="19">
                  <c:v>136.58821807340979</c:v>
                </c:pt>
                <c:pt idx="20">
                  <c:v>143.58694467754751</c:v>
                </c:pt>
                <c:pt idx="21">
                  <c:v>150.57750365853744</c:v>
                </c:pt>
                <c:pt idx="22">
                  <c:v>157.56032835665889</c:v>
                </c:pt>
                <c:pt idx="23">
                  <c:v>164.5358104907921</c:v>
                </c:pt>
                <c:pt idx="24">
                  <c:v>171.50430579106953</c:v>
                </c:pt>
                <c:pt idx="25">
                  <c:v>178.46613866629886</c:v>
                </c:pt>
                <c:pt idx="26">
                  <c:v>185.42160610357715</c:v>
                </c:pt>
                <c:pt idx="27">
                  <c:v>192.3709809510899</c:v>
                </c:pt>
                <c:pt idx="28">
                  <c:v>199.31451470089735</c:v>
                </c:pt>
                <c:pt idx="29">
                  <c:v>206.25243986300856</c:v>
                </c:pt>
                <c:pt idx="30">
                  <c:v>213.18497200279739</c:v>
                </c:pt>
                <c:pt idx="31">
                  <c:v>220.11231149913181</c:v>
                </c:pt>
                <c:pt idx="32">
                  <c:v>227.03464506927492</c:v>
                </c:pt>
                <c:pt idx="33">
                  <c:v>233.95214709781916</c:v>
                </c:pt>
                <c:pt idx="34">
                  <c:v>240.86498080001115</c:v>
                </c:pt>
                <c:pt idx="35">
                  <c:v>247.77329924436927</c:v>
                </c:pt>
                <c:pt idx="36">
                  <c:v>254.677246255146</c:v>
                </c:pt>
                <c:pt idx="37">
                  <c:v>261.57695721169699</c:v>
                </c:pt>
                <c:pt idx="38">
                  <c:v>268.47255975900185</c:v>
                </c:pt>
                <c:pt idx="39">
                  <c:v>159.13424306647443</c:v>
                </c:pt>
                <c:pt idx="40">
                  <c:v>175.51556479645032</c:v>
                </c:pt>
                <c:pt idx="41">
                  <c:v>191.86098640807214</c:v>
                </c:pt>
                <c:pt idx="42">
                  <c:v>208.17399808399605</c:v>
                </c:pt>
                <c:pt idx="43">
                  <c:v>224.45749769106285</c:v>
                </c:pt>
                <c:pt idx="44">
                  <c:v>240.7139279284028</c:v>
                </c:pt>
                <c:pt idx="45">
                  <c:v>256.94537440132541</c:v>
                </c:pt>
                <c:pt idx="46">
                  <c:v>202.22829097191121</c:v>
                </c:pt>
                <c:pt idx="47">
                  <c:v>218.55599706941132</c:v>
                </c:pt>
                <c:pt idx="48">
                  <c:v>234.85567780270017</c:v>
                </c:pt>
                <c:pt idx="49">
                  <c:v>251.12955222049018</c:v>
                </c:pt>
                <c:pt idx="50">
                  <c:v>267.37952812778133</c:v>
                </c:pt>
                <c:pt idx="51">
                  <c:v>283.60726240907678</c:v>
                </c:pt>
                <c:pt idx="52">
                  <c:v>299.81420680494631</c:v>
                </c:pt>
                <c:pt idx="53">
                  <c:v>241.6852366162332</c:v>
                </c:pt>
                <c:pt idx="54">
                  <c:v>257.55058563444715</c:v>
                </c:pt>
                <c:pt idx="55">
                  <c:v>273.39384260859043</c:v>
                </c:pt>
                <c:pt idx="56">
                  <c:v>289.21646803530473</c:v>
                </c:pt>
                <c:pt idx="57">
                  <c:v>305.01974952062346</c:v>
                </c:pt>
                <c:pt idx="58">
                  <c:v>320.80483033300214</c:v>
                </c:pt>
                <c:pt idx="59">
                  <c:v>336.57273203877315</c:v>
                </c:pt>
                <c:pt idx="60">
                  <c:v>283.25886324647348</c:v>
                </c:pt>
                <c:pt idx="61">
                  <c:v>298.69552666245664</c:v>
                </c:pt>
                <c:pt idx="62">
                  <c:v>314.11441948835591</c:v>
                </c:pt>
                <c:pt idx="63">
                  <c:v>329.5165368153817</c:v>
                </c:pt>
                <c:pt idx="64">
                  <c:v>344.90277311048459</c:v>
                </c:pt>
                <c:pt idx="65">
                  <c:v>360.27393652075779</c:v>
                </c:pt>
                <c:pt idx="66">
                  <c:v>375.63076060827984</c:v>
                </c:pt>
                <c:pt idx="67">
                  <c:v>390.97391406527368</c:v>
                </c:pt>
                <c:pt idx="68">
                  <c:v>337.3982904915398</c:v>
                </c:pt>
                <c:pt idx="69">
                  <c:v>352.52277406224692</c:v>
                </c:pt>
                <c:pt idx="70">
                  <c:v>367.633038881017</c:v>
                </c:pt>
                <c:pt idx="71">
                  <c:v>382.72975159104658</c:v>
                </c:pt>
                <c:pt idx="72">
                  <c:v>397.81352195706603</c:v>
                </c:pt>
                <c:pt idx="73">
                  <c:v>412.88490973595452</c:v>
                </c:pt>
                <c:pt idx="74">
                  <c:v>427.94443049178523</c:v>
                </c:pt>
                <c:pt idx="75">
                  <c:v>442.99256054965764</c:v>
                </c:pt>
                <c:pt idx="76">
                  <c:v>387.99604929412675</c:v>
                </c:pt>
                <c:pt idx="77">
                  <c:v>402.71916140738546</c:v>
                </c:pt>
                <c:pt idx="78">
                  <c:v>417.43063383513555</c:v>
                </c:pt>
                <c:pt idx="79">
                  <c:v>432.13093449997854</c:v>
                </c:pt>
                <c:pt idx="80">
                  <c:v>446.82049689717434</c:v>
                </c:pt>
                <c:pt idx="81">
                  <c:v>461.49972369979611</c:v>
                </c:pt>
                <c:pt idx="82">
                  <c:v>476.16898988135159</c:v>
                </c:pt>
                <c:pt idx="83">
                  <c:v>490.8286454336303</c:v>
                </c:pt>
                <c:pt idx="84">
                  <c:v>426.05876215311855</c:v>
                </c:pt>
                <c:pt idx="85">
                  <c:v>440.35552328942782</c:v>
                </c:pt>
                <c:pt idx="86">
                  <c:v>454.64233594685237</c:v>
                </c:pt>
                <c:pt idx="87">
                  <c:v>468.91955672259991</c:v>
                </c:pt>
                <c:pt idx="88">
                  <c:v>483.18751873278489</c:v>
                </c:pt>
                <c:pt idx="89">
                  <c:v>497.44653382078923</c:v>
                </c:pt>
                <c:pt idx="90">
                  <c:v>511.69689449928336</c:v>
                </c:pt>
                <c:pt idx="91">
                  <c:v>525.93887566470653</c:v>
                </c:pt>
                <c:pt idx="92">
                  <c:v>540.17273611642679</c:v>
                </c:pt>
                <c:pt idx="93">
                  <c:v>554.39871990749418</c:v>
                </c:pt>
                <c:pt idx="94">
                  <c:v>462.45057577316379</c:v>
                </c:pt>
                <c:pt idx="95">
                  <c:v>476.2297193668951</c:v>
                </c:pt>
                <c:pt idx="96">
                  <c:v>490.00038431965748</c:v>
                </c:pt>
                <c:pt idx="97">
                  <c:v>503.76284242511315</c:v>
                </c:pt>
                <c:pt idx="98">
                  <c:v>517.51734941902237</c:v>
                </c:pt>
                <c:pt idx="99">
                  <c:v>531.26414633845241</c:v>
                </c:pt>
                <c:pt idx="100">
                  <c:v>545.00346073302319</c:v>
                </c:pt>
                <c:pt idx="101">
                  <c:v>558.73550774769456</c:v>
                </c:pt>
                <c:pt idx="102">
                  <c:v>572.46049109360445</c:v>
                </c:pt>
                <c:pt idx="103">
                  <c:v>586.17860392099487</c:v>
                </c:pt>
                <c:pt idx="104">
                  <c:v>494.39304365003255</c:v>
                </c:pt>
                <c:pt idx="105">
                  <c:v>507.69808885047905</c:v>
                </c:pt>
                <c:pt idx="106">
                  <c:v>520.99576594668645</c:v>
                </c:pt>
                <c:pt idx="107">
                  <c:v>534.28628945011303</c:v>
                </c:pt>
                <c:pt idx="108">
                  <c:v>547.56986233272289</c:v>
                </c:pt>
                <c:pt idx="109">
                  <c:v>560.84667691848119</c:v>
                </c:pt>
                <c:pt idx="110">
                  <c:v>574.11691568606932</c:v>
                </c:pt>
                <c:pt idx="111">
                  <c:v>587.38075199355023</c:v>
                </c:pt>
                <c:pt idx="112">
                  <c:v>600.63835073419614</c:v>
                </c:pt>
                <c:pt idx="113">
                  <c:v>613.88986893142953</c:v>
                </c:pt>
                <c:pt idx="114">
                  <c:v>521.12234181312056</c:v>
                </c:pt>
                <c:pt idx="115">
                  <c:v>534.29698035461945</c:v>
                </c:pt>
                <c:pt idx="116">
                  <c:v>547.46478909061773</c:v>
                </c:pt>
                <c:pt idx="117">
                  <c:v>560.62595539326617</c:v>
                </c:pt>
                <c:pt idx="118">
                  <c:v>573.78065712263424</c:v>
                </c:pt>
                <c:pt idx="119">
                  <c:v>586.92906332116638</c:v>
                </c:pt>
                <c:pt idx="120">
                  <c:v>600.07133484269514</c:v>
                </c:pt>
                <c:pt idx="121">
                  <c:v>613.20762492350696</c:v>
                </c:pt>
                <c:pt idx="122">
                  <c:v>626.33807970195176</c:v>
                </c:pt>
                <c:pt idx="123">
                  <c:v>639.46283869223191</c:v>
                </c:pt>
                <c:pt idx="124">
                  <c:v>333.6660506110839</c:v>
                </c:pt>
                <c:pt idx="125">
                  <c:v>341.01717737647567</c:v>
                </c:pt>
                <c:pt idx="126">
                  <c:v>236.43132973115257</c:v>
                </c:pt>
                <c:pt idx="127">
                  <c:v>241.4909819994119</c:v>
                </c:pt>
                <c:pt idx="128">
                  <c:v>173.26777390076953</c:v>
                </c:pt>
                <c:pt idx="129">
                  <c:v>177.0427019008545</c:v>
                </c:pt>
                <c:pt idx="130">
                  <c:v>180.81574144693499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D9" sqref="D9:D1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7</v>
      </c>
      <c r="B5" s="268"/>
      <c r="C5" s="24">
        <v>2.5499999999999998</v>
      </c>
      <c r="D5" s="269" t="s">
        <v>8</v>
      </c>
      <c r="E5" s="270"/>
      <c r="F5" s="90"/>
      <c r="G5" s="218"/>
      <c r="H5" s="218"/>
      <c r="I5" s="218" t="s">
        <v>326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">
        <v>143</v>
      </c>
      <c r="C9" s="32">
        <v>0.67</v>
      </c>
      <c r="D9" s="33">
        <f t="shared" ref="D9:D18" si="0">C9*$C$5</f>
        <v>1.7084999999999999</v>
      </c>
      <c r="E9" s="34">
        <v>165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17</v>
      </c>
      <c r="B10" s="31" t="s">
        <v>137</v>
      </c>
      <c r="C10" s="32">
        <v>0.33</v>
      </c>
      <c r="D10" s="33">
        <f t="shared" si="0"/>
        <v>0.84150000000000003</v>
      </c>
      <c r="E10" s="34">
        <v>130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18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26</v>
      </c>
      <c r="C19" s="37">
        <f>SUM(C9:C18)</f>
        <v>1</v>
      </c>
      <c r="D19" s="38">
        <f>SUM(D9:D18)</f>
        <v>2.5499999999999998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33</v>
      </c>
      <c r="B26" s="42" t="s">
        <v>34</v>
      </c>
      <c r="C26" s="43">
        <v>0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Chêne sessile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41</v>
      </c>
      <c r="C34" s="258" t="s">
        <v>42</v>
      </c>
      <c r="D34" s="258"/>
      <c r="E34" s="259" t="s">
        <v>43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40</v>
      </c>
      <c r="B36" s="60">
        <v>180.42</v>
      </c>
      <c r="C36" s="60">
        <v>1</v>
      </c>
      <c r="D36" s="60">
        <v>84.13</v>
      </c>
      <c r="E36" s="51">
        <v>0.3</v>
      </c>
      <c r="F36" s="51">
        <v>0</v>
      </c>
      <c r="G36" s="51">
        <v>0</v>
      </c>
      <c r="H36" s="51">
        <v>0.7</v>
      </c>
      <c r="I36" s="49">
        <f>IFERROR(B36/A36,"")</f>
        <v>4.5104999999999995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47</v>
      </c>
      <c r="B37" s="60">
        <v>157.69</v>
      </c>
      <c r="C37" s="60">
        <v>2</v>
      </c>
      <c r="D37" s="60">
        <v>43</v>
      </c>
      <c r="E37" s="51">
        <v>0.3</v>
      </c>
      <c r="F37" s="51">
        <v>0</v>
      </c>
      <c r="G37" s="51">
        <v>0</v>
      </c>
      <c r="H37" s="51">
        <v>0.7</v>
      </c>
      <c r="I37" s="53">
        <f t="shared" ref="I37:I55" si="1">IF(A37&lt;&gt;0,(B37-(B36-D36))/(A37-A36),"")</f>
        <v>8.7714285714285722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55</v>
      </c>
      <c r="B38" s="60">
        <v>182.07</v>
      </c>
      <c r="C38" s="60">
        <v>3</v>
      </c>
      <c r="D38" s="60">
        <v>50.03</v>
      </c>
      <c r="E38" s="51">
        <v>0.3</v>
      </c>
      <c r="F38" s="51">
        <v>0</v>
      </c>
      <c r="G38" s="51">
        <v>0</v>
      </c>
      <c r="H38" s="51">
        <v>0.7</v>
      </c>
      <c r="I38" s="53">
        <f t="shared" si="1"/>
        <v>8.4224999999999994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63</v>
      </c>
      <c r="B39" s="60">
        <v>195.14</v>
      </c>
      <c r="C39" s="60">
        <v>4</v>
      </c>
      <c r="D39" s="60">
        <v>45.14</v>
      </c>
      <c r="E39" s="51">
        <v>0.6</v>
      </c>
      <c r="F39" s="51">
        <v>0</v>
      </c>
      <c r="G39" s="51">
        <v>0</v>
      </c>
      <c r="H39" s="51">
        <v>0.4</v>
      </c>
      <c r="I39" s="49">
        <f t="shared" si="1"/>
        <v>7.8874999999999993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71</v>
      </c>
      <c r="B40" s="60">
        <v>208.3</v>
      </c>
      <c r="C40" s="60">
        <v>5</v>
      </c>
      <c r="D40" s="60">
        <v>41.9</v>
      </c>
      <c r="E40" s="51">
        <v>0.6</v>
      </c>
      <c r="F40" s="51">
        <v>0</v>
      </c>
      <c r="G40" s="51">
        <v>0</v>
      </c>
      <c r="H40" s="51">
        <v>0.4</v>
      </c>
      <c r="I40" s="49">
        <f t="shared" si="1"/>
        <v>7.2875000000000014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79</v>
      </c>
      <c r="B41" s="60">
        <v>221.34</v>
      </c>
      <c r="C41" s="60">
        <v>6</v>
      </c>
      <c r="D41" s="60">
        <v>39.520000000000003</v>
      </c>
      <c r="E41" s="51">
        <v>0.6</v>
      </c>
      <c r="F41" s="51">
        <v>0</v>
      </c>
      <c r="G41" s="51">
        <v>0</v>
      </c>
      <c r="H41" s="51">
        <v>0.4</v>
      </c>
      <c r="I41" s="53">
        <f t="shared" si="1"/>
        <v>6.8674999999999997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88</v>
      </c>
      <c r="B42" s="60">
        <v>241.26</v>
      </c>
      <c r="C42" s="60">
        <v>7</v>
      </c>
      <c r="D42" s="60">
        <v>40.659999999999997</v>
      </c>
      <c r="E42" s="51">
        <v>0.6</v>
      </c>
      <c r="F42" s="51">
        <v>0</v>
      </c>
      <c r="G42" s="51">
        <v>0</v>
      </c>
      <c r="H42" s="51">
        <v>0.4</v>
      </c>
      <c r="I42" s="53">
        <f t="shared" si="1"/>
        <v>6.6044444444444439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97</v>
      </c>
      <c r="B43" s="60">
        <v>258</v>
      </c>
      <c r="C43" s="60">
        <v>8</v>
      </c>
      <c r="D43" s="60">
        <v>44.17</v>
      </c>
      <c r="E43" s="51">
        <v>0.6</v>
      </c>
      <c r="F43" s="51">
        <v>0</v>
      </c>
      <c r="G43" s="51">
        <v>0</v>
      </c>
      <c r="H43" s="51">
        <v>0.4</v>
      </c>
      <c r="I43" s="49">
        <f t="shared" si="1"/>
        <v>6.3777777777777782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107</v>
      </c>
      <c r="B44" s="60">
        <v>276.01</v>
      </c>
      <c r="C44" s="60">
        <v>9</v>
      </c>
      <c r="D44" s="60">
        <v>40.71</v>
      </c>
      <c r="E44" s="51">
        <v>0.6</v>
      </c>
      <c r="F44" s="51">
        <v>0</v>
      </c>
      <c r="G44" s="51">
        <v>0</v>
      </c>
      <c r="H44" s="51">
        <v>0.4</v>
      </c>
      <c r="I44" s="49">
        <f t="shared" si="1"/>
        <v>6.2180000000000009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117</v>
      </c>
      <c r="B45" s="60">
        <v>297.88</v>
      </c>
      <c r="C45" s="60">
        <v>10</v>
      </c>
      <c r="D45" s="60">
        <v>42.89</v>
      </c>
      <c r="E45" s="51">
        <v>0.6</v>
      </c>
      <c r="F45" s="51">
        <v>0</v>
      </c>
      <c r="G45" s="51">
        <v>0</v>
      </c>
      <c r="H45" s="51">
        <v>0.4</v>
      </c>
      <c r="I45" s="49">
        <f t="shared" si="1"/>
        <v>6.2580000000000009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129</v>
      </c>
      <c r="B46" s="60">
        <v>332.05</v>
      </c>
      <c r="C46" s="60">
        <v>11</v>
      </c>
      <c r="D46" s="60">
        <v>54</v>
      </c>
      <c r="E46" s="51">
        <v>0.6</v>
      </c>
      <c r="F46" s="51">
        <v>0</v>
      </c>
      <c r="G46" s="51">
        <v>0</v>
      </c>
      <c r="H46" s="51">
        <v>0.4</v>
      </c>
      <c r="I46" s="49">
        <f t="shared" si="1"/>
        <v>6.4216666666666669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141</v>
      </c>
      <c r="B47" s="60">
        <v>357.2</v>
      </c>
      <c r="C47" s="60">
        <v>12</v>
      </c>
      <c r="D47" s="60">
        <v>56.79</v>
      </c>
      <c r="E47" s="51">
        <v>0.6</v>
      </c>
      <c r="F47" s="51">
        <v>0</v>
      </c>
      <c r="G47" s="51">
        <v>0</v>
      </c>
      <c r="H47" s="51">
        <v>0.4</v>
      </c>
      <c r="I47" s="49">
        <f t="shared" si="1"/>
        <v>6.5958333333333314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153</v>
      </c>
      <c r="B48" s="60">
        <v>379.51</v>
      </c>
      <c r="C48" s="60">
        <v>13</v>
      </c>
      <c r="D48" s="60">
        <v>186.83</v>
      </c>
      <c r="E48" s="51">
        <v>0.6</v>
      </c>
      <c r="F48" s="51">
        <v>0</v>
      </c>
      <c r="G48" s="51">
        <v>0</v>
      </c>
      <c r="H48" s="51">
        <v>0.4</v>
      </c>
      <c r="I48" s="49">
        <f t="shared" si="1"/>
        <v>6.5916666666666686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157</v>
      </c>
      <c r="B49" s="60">
        <v>204.86</v>
      </c>
      <c r="C49" s="60">
        <v>14</v>
      </c>
      <c r="D49" s="60">
        <v>70.989999999999995</v>
      </c>
      <c r="E49" s="51">
        <v>0.6</v>
      </c>
      <c r="F49" s="51">
        <v>0</v>
      </c>
      <c r="G49" s="51">
        <v>0</v>
      </c>
      <c r="H49" s="51">
        <v>0.4</v>
      </c>
      <c r="I49" s="49">
        <f t="shared" si="1"/>
        <v>3.0450000000000088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161</v>
      </c>
      <c r="B50" s="50">
        <v>141.76</v>
      </c>
      <c r="C50" s="50">
        <v>15</v>
      </c>
      <c r="D50" s="50">
        <v>47.17</v>
      </c>
      <c r="E50" s="51">
        <v>0.6</v>
      </c>
      <c r="F50" s="51">
        <v>0</v>
      </c>
      <c r="G50" s="51">
        <v>0</v>
      </c>
      <c r="H50" s="51">
        <v>0.4</v>
      </c>
      <c r="I50" s="49">
        <f t="shared" si="1"/>
        <v>1.9724999999999966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165</v>
      </c>
      <c r="B51" s="50">
        <v>99.64</v>
      </c>
      <c r="C51" s="50">
        <v>16</v>
      </c>
      <c r="D51" s="50">
        <v>99.64</v>
      </c>
      <c r="E51" s="51">
        <v>0.6</v>
      </c>
      <c r="F51" s="51">
        <v>0</v>
      </c>
      <c r="G51" s="51">
        <v>0</v>
      </c>
      <c r="H51" s="51">
        <v>0.4</v>
      </c>
      <c r="I51" s="49">
        <f t="shared" si="1"/>
        <v>1.2625000000000028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17</v>
      </c>
      <c r="B58" s="52" t="str">
        <f>IF(B10="","",B10)</f>
        <v>Chêne pédonculé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41</v>
      </c>
      <c r="C60" s="258" t="s">
        <v>42</v>
      </c>
      <c r="D60" s="258"/>
      <c r="E60" s="259" t="s">
        <v>43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38</v>
      </c>
      <c r="B62" s="60">
        <v>144.83000000000001</v>
      </c>
      <c r="C62" s="60">
        <v>1</v>
      </c>
      <c r="D62" s="60">
        <v>69.08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3.8113157894736847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45</v>
      </c>
      <c r="B63" s="60">
        <v>138.46</v>
      </c>
      <c r="C63" s="60">
        <v>2</v>
      </c>
      <c r="D63" s="60">
        <v>39.119999999999997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8.9585714285714282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52</v>
      </c>
      <c r="B64" s="60">
        <v>162.18</v>
      </c>
      <c r="C64" s="60">
        <v>3</v>
      </c>
      <c r="D64" s="60">
        <v>40.9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8.9771428571428569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59</v>
      </c>
      <c r="B65" s="60">
        <v>182.58</v>
      </c>
      <c r="C65" s="60">
        <v>4</v>
      </c>
      <c r="D65" s="60">
        <v>38.119999999999997</v>
      </c>
      <c r="E65" s="51">
        <v>0.3</v>
      </c>
      <c r="F65" s="51">
        <v>0</v>
      </c>
      <c r="G65" s="51">
        <v>0</v>
      </c>
      <c r="H65" s="51">
        <v>0.7</v>
      </c>
      <c r="I65" s="49">
        <f>IF(A65&lt;&gt;0,(B65-(B64-D64))/(A65-A64),"")</f>
        <v>8.757142857142858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67</v>
      </c>
      <c r="B66" s="60">
        <v>212.86</v>
      </c>
      <c r="C66" s="60">
        <v>5</v>
      </c>
      <c r="D66" s="60">
        <v>38.229999999999997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8.5500000000000007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75</v>
      </c>
      <c r="B67" s="60">
        <v>241.9</v>
      </c>
      <c r="C67" s="60">
        <v>6</v>
      </c>
      <c r="D67" s="60">
        <v>38.909999999999997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8.4087499999999977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83</v>
      </c>
      <c r="B68" s="60">
        <v>268.67</v>
      </c>
      <c r="C68" s="60">
        <v>7</v>
      </c>
      <c r="D68" s="60">
        <v>44.22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8.2100000000000009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93</v>
      </c>
      <c r="B69" s="50">
        <v>304.33</v>
      </c>
      <c r="C69" s="50">
        <v>8</v>
      </c>
      <c r="D69" s="50">
        <v>59.26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7.9879999999999969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103</v>
      </c>
      <c r="B70" s="50">
        <v>322.19</v>
      </c>
      <c r="C70" s="50">
        <v>9</v>
      </c>
      <c r="D70" s="50">
        <v>58.98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7.7120000000000006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113</v>
      </c>
      <c r="B71" s="50">
        <v>337.78</v>
      </c>
      <c r="C71" s="50">
        <v>10</v>
      </c>
      <c r="D71" s="50">
        <v>59.52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7.456999999999999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123</v>
      </c>
      <c r="B72" s="50">
        <v>352.18</v>
      </c>
      <c r="C72" s="50">
        <v>11</v>
      </c>
      <c r="D72" s="50">
        <v>175.3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7.3920000000000012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125</v>
      </c>
      <c r="B73" s="50">
        <v>185.05</v>
      </c>
      <c r="C73" s="50">
        <v>12</v>
      </c>
      <c r="D73" s="50">
        <v>60.7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4.085000000000008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127</v>
      </c>
      <c r="B74" s="50">
        <v>129.93</v>
      </c>
      <c r="C74" s="50">
        <v>13</v>
      </c>
      <c r="D74" s="50">
        <v>39.56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2.7899999999999991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130</v>
      </c>
      <c r="B75" s="50">
        <v>96.57</v>
      </c>
      <c r="C75" s="50">
        <v>14</v>
      </c>
      <c r="D75" s="50">
        <v>96.57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2.0666666666666629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18</v>
      </c>
      <c r="B84" s="52" t="str">
        <f>IF(B11="","",B11)</f>
        <v/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41</v>
      </c>
      <c r="C86" s="258" t="s">
        <v>42</v>
      </c>
      <c r="D86" s="258"/>
      <c r="E86" s="259" t="s">
        <v>43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41</v>
      </c>
      <c r="C112" s="258" t="s">
        <v>42</v>
      </c>
      <c r="D112" s="258"/>
      <c r="E112" s="259" t="s">
        <v>43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41</v>
      </c>
      <c r="C138" s="258" t="s">
        <v>42</v>
      </c>
      <c r="D138" s="258"/>
      <c r="E138" s="259" t="s">
        <v>43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41</v>
      </c>
      <c r="C164" s="258" t="s">
        <v>42</v>
      </c>
      <c r="D164" s="258"/>
      <c r="E164" s="259" t="s">
        <v>43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41</v>
      </c>
      <c r="C190" s="258" t="s">
        <v>42</v>
      </c>
      <c r="D190" s="258"/>
      <c r="E190" s="259" t="s">
        <v>43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41</v>
      </c>
      <c r="C216" s="258" t="s">
        <v>42</v>
      </c>
      <c r="D216" s="258"/>
      <c r="E216" s="259" t="s">
        <v>43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41</v>
      </c>
      <c r="C242" s="258" t="s">
        <v>42</v>
      </c>
      <c r="D242" s="258"/>
      <c r="E242" s="259" t="s">
        <v>43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41</v>
      </c>
      <c r="C268" s="258" t="s">
        <v>42</v>
      </c>
      <c r="D268" s="258"/>
      <c r="E268" s="259" t="s">
        <v>43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9" sqref="G2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58</v>
      </c>
      <c r="D8" s="23"/>
      <c r="E8" s="105">
        <v>4</v>
      </c>
      <c r="F8" s="61">
        <v>1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55</v>
      </c>
      <c r="C15" s="4"/>
      <c r="D15" s="23"/>
      <c r="E15" s="4"/>
      <c r="F15" s="4"/>
      <c r="G15" s="2" t="s">
        <v>137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74" zoomScaleNormal="100" workbookViewId="0">
      <selection activeCell="G88" sqref="G88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pédonculé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233.2883475283553</v>
      </c>
      <c r="T3" s="59">
        <f>IF('Données projet'!E9&gt;30,$R$33-$H$33,LOOKUP('Données projet'!$E$9,$A$3:$A$203,R3:R203)-LOOKUP('Données projet'!$E$9,$A$3:$A$203,$H$3:$H$203))</f>
        <v>211.4485324078031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206.25389915739601</v>
      </c>
      <c r="AO3" s="59">
        <f>IF('Données projet'!E10&gt;30,$AM$33-$H$33,LOOKUP('Données projet'!$E$10,$A$3:$A$203,AM3:AM203)-LOOKUP('Données projet'!$E$10,$A$3:$A$203,$H$3:$H$203))</f>
        <v>155.24154927193064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0.84240000000000004</v>
      </c>
      <c r="D4" s="11">
        <f>IFERROR(EXP(-1.0587+0.8836*LN(C4)+0.284),0)</f>
        <v>0.3960409432098097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9.5598950002160752</v>
      </c>
      <c r="H4" s="67">
        <f t="shared" ref="H4:H67" si="1">(B4+E4+F4)*44/12+(C4+D4)*0.475*44/12</f>
        <v>295.49028464275705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4.5104999999999995</v>
      </c>
      <c r="N4" s="13">
        <f>IF('Données projet'!$A$36&gt;35,N3+M4-V3,IF(A4&lt;'Données projet'!$A$36,$K$205^A4,IF(A4='Données projet'!$A$36,'Données projet'!$B$36,N3+M4-V3)))</f>
        <v>4.5104999999999995</v>
      </c>
      <c r="O4" s="13">
        <f>N4*VLOOKUP('Données projet'!$B$9,Paramètres!$A$1:$I$89,3,0)*VLOOKUP('Données projet'!$B$9,Paramètres!$A$1:$I$89,5,0)</f>
        <v>4.0811003999999995</v>
      </c>
      <c r="P4" s="13">
        <f>EXP(-1.0587+0.8836*LN(O4)+0.284)</f>
        <v>1.5967424401909893</v>
      </c>
      <c r="Q4" s="20">
        <f t="shared" ref="Q4:Q34" si="2">(O4+P4)*0.475*44/12</f>
        <v>9.888909613332638</v>
      </c>
      <c r="R4" s="59">
        <f t="shared" si="0"/>
        <v>303.22224294666597</v>
      </c>
      <c r="S4" s="59">
        <f ca="1">AVERAGE(OFFSET($R$3,0,0,'Données projet'!$E$9+1,1))-AVERAGE(OFFSET($H$3,0,0,'Données projet'!$E$9+1,1))</f>
        <v>233.2883475283553</v>
      </c>
      <c r="T4" s="59">
        <f>$T$3</f>
        <v>211.4485324078031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3.8113157894736847</v>
      </c>
      <c r="AI4" s="13">
        <f>IF('Données projet'!$A$62&gt;35,AI3+AH4-AQ3,IF(A4&lt;'Données projet'!$A$62,$AF$205^A4,IF(A4='Données projet'!$A$62,'Données projet'!$B$62,AI3+AH4-AQ3)))</f>
        <v>3.8113157894736847</v>
      </c>
      <c r="AJ4" s="13">
        <f>AI4*VLOOKUP('Données projet'!$B$10,Paramètres!$A$1:$I$89,3,0)*VLOOKUP('Données projet'!$B$10,Paramètres!$A$1:$I$89,5,0)</f>
        <v>3.2106524210526319</v>
      </c>
      <c r="AK4" s="13">
        <f>EXP(-1.0587+0.8836*LN(AJ4)+0.284)</f>
        <v>1.2917482977000276</v>
      </c>
      <c r="AL4" s="20">
        <f t="shared" ref="AL4:AL67" si="4">(AJ4+AK4)*0.475*44/12</f>
        <v>7.8416812518275494</v>
      </c>
      <c r="AM4" s="59">
        <f t="shared" ref="AM4:AM67" si="5">AL4+(AD4+AE4)*44/12</f>
        <v>301.17501458516085</v>
      </c>
      <c r="AN4" s="59">
        <f ca="1">AVERAGE(OFFSET($AM$3,0,0,'Données projet'!$E$10+1,1))-AVERAGE(OFFSET($H$3,0,0,'Données projet'!$E$10+1,1))</f>
        <v>206.25389915739601</v>
      </c>
      <c r="AO4" s="59">
        <f>$AO$3</f>
        <v>155.24154927193064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1.6848000000000001</v>
      </c>
      <c r="D5" s="11">
        <f t="shared" ref="D5:D68" si="32">IFERROR(EXP(-1.0587+0.8836*LN(C5)+0.284),0)</f>
        <v>0.7306849972750864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18.645849101772601</v>
      </c>
      <c r="H5" s="67">
        <f t="shared" si="1"/>
        <v>297.54030303692076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4.5104999999999995</v>
      </c>
      <c r="N5" s="13">
        <f>IF('Données projet'!$A$36&gt;35,N4+M5-V4,IF(A5&lt;'Données projet'!$A$36,$K$205^A5,IF(A5='Données projet'!$A$36,'Données projet'!$B$36,N4+M5-V4)))</f>
        <v>9.020999999999999</v>
      </c>
      <c r="O5" s="13">
        <f>N5*VLOOKUP('Données projet'!$B$9,Paramètres!$A$1:$I$89,3,0)*VLOOKUP('Données projet'!$B$9,Paramètres!$A$1:$I$89,5,0)</f>
        <v>8.162200799999999</v>
      </c>
      <c r="P5" s="13">
        <f t="shared" ref="P5:P68" si="33">EXP(-1.0587+0.8836*LN(O5)+0.284)</f>
        <v>2.945947295509495</v>
      </c>
      <c r="Q5" s="20">
        <f t="shared" si="2"/>
        <v>19.346691266345697</v>
      </c>
      <c r="R5" s="59">
        <f t="shared" si="0"/>
        <v>312.68002459967903</v>
      </c>
      <c r="S5" s="59">
        <f ca="1">AVERAGE(OFFSET($R$3,0,0,'Données projet'!$E$9+1,1))-AVERAGE(OFFSET($H$3,0,0,'Données projet'!$E$9+1,1))</f>
        <v>233.2883475283553</v>
      </c>
      <c r="T5" s="59">
        <f t="shared" ref="T5:T68" si="34">$T$3</f>
        <v>211.4485324078031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3.8113157894736847</v>
      </c>
      <c r="AI5" s="13">
        <f>IF('Données projet'!$A$62&gt;35,AI4+AH5-AQ4,IF(A5&lt;'Données projet'!$A$62,$AF$205^A5,IF(A5='Données projet'!$A$62,'Données projet'!$B$62,AI4+AH5-AQ4)))</f>
        <v>7.6226315789473693</v>
      </c>
      <c r="AJ5" s="13">
        <f>AI5*VLOOKUP('Données projet'!$B$10,Paramètres!$A$1:$I$89,3,0)*VLOOKUP('Données projet'!$B$10,Paramètres!$A$1:$I$89,5,0)</f>
        <v>6.4213048421052639</v>
      </c>
      <c r="AK5" s="13">
        <f t="shared" ref="AK5:AK68" si="35">EXP(-1.0587+0.8836*LN(AJ5)+0.284)</f>
        <v>2.3832412218173489</v>
      </c>
      <c r="AL5" s="20">
        <f t="shared" si="4"/>
        <v>15.334584394665216</v>
      </c>
      <c r="AM5" s="59">
        <f t="shared" si="5"/>
        <v>308.66791772799854</v>
      </c>
      <c r="AN5" s="59">
        <f ca="1">AVERAGE(OFFSET($AM$3,0,0,'Données projet'!$E$10+1,1))-AVERAGE(OFFSET($H$3,0,0,'Données projet'!$E$10+1,1))</f>
        <v>206.25389915739601</v>
      </c>
      <c r="AO5" s="59">
        <f t="shared" ref="AO5:AO68" si="36">$AO$3</f>
        <v>155.24154927193064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2.5272000000000001</v>
      </c>
      <c r="D6" s="11">
        <f t="shared" si="32"/>
        <v>1.0455009380777207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27.578744083406971</v>
      </c>
      <c r="H6" s="67">
        <f t="shared" si="1"/>
        <v>299.55578746715202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4.5104999999999995</v>
      </c>
      <c r="N6" s="13">
        <f>IF('Données projet'!$A$36&gt;35,N5+M6-V5,IF(A6&lt;'Données projet'!$A$36,$K$205^A6,IF(A6='Données projet'!$A$36,'Données projet'!$B$36,N5+M6-V5)))</f>
        <v>13.531499999999998</v>
      </c>
      <c r="O6" s="13">
        <f>N6*VLOOKUP('Données projet'!$B$9,Paramètres!$A$1:$I$89,3,0)*VLOOKUP('Données projet'!$B$9,Paramètres!$A$1:$I$89,5,0)</f>
        <v>12.243301199999998</v>
      </c>
      <c r="P6" s="13">
        <f t="shared" si="33"/>
        <v>4.2152099365236504</v>
      </c>
      <c r="Q6" s="20">
        <f t="shared" si="2"/>
        <v>28.665240229445349</v>
      </c>
      <c r="R6" s="59">
        <f t="shared" si="0"/>
        <v>321.99857356277869</v>
      </c>
      <c r="S6" s="59">
        <f ca="1">AVERAGE(OFFSET($R$3,0,0,'Données projet'!$E$9+1,1))-AVERAGE(OFFSET($H$3,0,0,'Données projet'!$E$9+1,1))</f>
        <v>233.2883475283553</v>
      </c>
      <c r="T6" s="59">
        <f t="shared" si="34"/>
        <v>211.4485324078031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3.8113157894736847</v>
      </c>
      <c r="AI6" s="13">
        <f>IF('Données projet'!$A$62&gt;35,AI5+AH6-AQ5,IF(A6&lt;'Données projet'!$A$62,$AF$205^A6,IF(A6='Données projet'!$A$62,'Données projet'!$B$62,AI5+AH6-AQ5)))</f>
        <v>11.433947368421054</v>
      </c>
      <c r="AJ6" s="13">
        <f>AI6*VLOOKUP('Données projet'!$B$10,Paramètres!$A$1:$I$89,3,0)*VLOOKUP('Données projet'!$B$10,Paramètres!$A$1:$I$89,5,0)</f>
        <v>9.6319572631578971</v>
      </c>
      <c r="AK6" s="13">
        <f t="shared" si="35"/>
        <v>3.410061712458385</v>
      </c>
      <c r="AL6" s="20">
        <f t="shared" si="4"/>
        <v>22.714849715865025</v>
      </c>
      <c r="AM6" s="59">
        <f t="shared" si="5"/>
        <v>316.04818304919831</v>
      </c>
      <c r="AN6" s="59">
        <f ca="1">AVERAGE(OFFSET($AM$3,0,0,'Données projet'!$E$10+1,1))-AVERAGE(OFFSET($H$3,0,0,'Données projet'!$E$10+1,1))</f>
        <v>206.25389915739601</v>
      </c>
      <c r="AO6" s="59">
        <f t="shared" si="36"/>
        <v>155.24154927193064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3.3696000000000002</v>
      </c>
      <c r="D7" s="11">
        <f t="shared" si="32"/>
        <v>1.3480943685159585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36.417289862228458</v>
      </c>
      <c r="H7" s="67">
        <f t="shared" si="1"/>
        <v>301.54998435849859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4.5104999999999995</v>
      </c>
      <c r="N7" s="13">
        <f>IF('Données projet'!$A$36&gt;35,N6+M7-V6,IF(A7&lt;'Données projet'!$A$36,$K$205^A7,IF(A7='Données projet'!$A$36,'Données projet'!$B$36,N6+M7-V6)))</f>
        <v>18.041999999999998</v>
      </c>
      <c r="O7" s="13">
        <f>N7*VLOOKUP('Données projet'!$B$9,Paramètres!$A$1:$I$89,3,0)*VLOOKUP('Données projet'!$B$9,Paramètres!$A$1:$I$89,5,0)</f>
        <v>16.324401599999998</v>
      </c>
      <c r="P7" s="13">
        <f t="shared" si="33"/>
        <v>5.4351943365904649</v>
      </c>
      <c r="Q7" s="20">
        <f t="shared" si="2"/>
        <v>37.897962922895054</v>
      </c>
      <c r="R7" s="59">
        <f t="shared" si="0"/>
        <v>331.23129625622835</v>
      </c>
      <c r="S7" s="59">
        <f ca="1">AVERAGE(OFFSET($R$3,0,0,'Données projet'!$E$9+1,1))-AVERAGE(OFFSET($H$3,0,0,'Données projet'!$E$9+1,1))</f>
        <v>233.2883475283553</v>
      </c>
      <c r="T7" s="59">
        <f t="shared" si="34"/>
        <v>211.4485324078031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3.8113157894736847</v>
      </c>
      <c r="AI7" s="13">
        <f>IF('Données projet'!$A$62&gt;35,AI6+AH7-AQ6,IF(A7&lt;'Données projet'!$A$62,$AF$205^A7,IF(A7='Données projet'!$A$62,'Données projet'!$B$62,AI6+AH7-AQ6)))</f>
        <v>15.245263157894739</v>
      </c>
      <c r="AJ7" s="13">
        <f>AI7*VLOOKUP('Données projet'!$B$10,Paramètres!$A$1:$I$89,3,0)*VLOOKUP('Données projet'!$B$10,Paramètres!$A$1:$I$89,5,0)</f>
        <v>12.842609684210528</v>
      </c>
      <c r="AK7" s="13">
        <f t="shared" si="35"/>
        <v>4.397016610343103</v>
      </c>
      <c r="AL7" s="20">
        <f t="shared" si="4"/>
        <v>30.025682463014238</v>
      </c>
      <c r="AM7" s="59">
        <f t="shared" si="5"/>
        <v>323.35901579634753</v>
      </c>
      <c r="AN7" s="59">
        <f ca="1">AVERAGE(OFFSET($AM$3,0,0,'Données projet'!$E$10+1,1))-AVERAGE(OFFSET($H$3,0,0,'Données projet'!$E$10+1,1))</f>
        <v>206.25389915739601</v>
      </c>
      <c r="AO7" s="59">
        <f t="shared" si="36"/>
        <v>155.24154927193064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4.2119999999999997</v>
      </c>
      <c r="D8" s="11">
        <f t="shared" si="32"/>
        <v>1.6419123971514347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45.188095697309329</v>
      </c>
      <c r="H8" s="67">
        <f t="shared" si="1"/>
        <v>303.52889742503874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4.5104999999999995</v>
      </c>
      <c r="N8" s="13">
        <f>IF('Données projet'!$A$36&gt;35,N7+M8-V7,IF(A8&lt;'Données projet'!$A$36,$K$205^A8,IF(A8='Données projet'!$A$36,'Données projet'!$B$36,N7+M8-V7)))</f>
        <v>22.552499999999998</v>
      </c>
      <c r="O8" s="13">
        <f>N8*VLOOKUP('Données projet'!$B$9,Paramètres!$A$1:$I$89,3,0)*VLOOKUP('Données projet'!$B$9,Paramètres!$A$1:$I$89,5,0)</f>
        <v>20.405501999999998</v>
      </c>
      <c r="P8" s="13">
        <f t="shared" si="33"/>
        <v>6.6197984136668477</v>
      </c>
      <c r="Q8" s="20">
        <f t="shared" si="2"/>
        <v>47.069064887136427</v>
      </c>
      <c r="R8" s="59">
        <f t="shared" si="0"/>
        <v>340.40239822046976</v>
      </c>
      <c r="S8" s="59">
        <f ca="1">AVERAGE(OFFSET($R$3,0,0,'Données projet'!$E$9+1,1))-AVERAGE(OFFSET($H$3,0,0,'Données projet'!$E$9+1,1))</f>
        <v>233.2883475283553</v>
      </c>
      <c r="T8" s="59">
        <f t="shared" si="34"/>
        <v>211.4485324078031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3.8113157894736847</v>
      </c>
      <c r="AI8" s="13">
        <f>IF('Données projet'!$A$62&gt;35,AI7+AH8-AQ7,IF(A8&lt;'Données projet'!$A$62,$AF$205^A8,IF(A8='Données projet'!$A$62,'Données projet'!$B$62,AI7+AH8-AQ7)))</f>
        <v>19.056578947368422</v>
      </c>
      <c r="AJ8" s="13">
        <f>AI8*VLOOKUP('Données projet'!$B$10,Paramètres!$A$1:$I$89,3,0)*VLOOKUP('Données projet'!$B$10,Paramètres!$A$1:$I$89,5,0)</f>
        <v>16.053262105263162</v>
      </c>
      <c r="AK8" s="13">
        <f t="shared" si="35"/>
        <v>5.3553491889078098</v>
      </c>
      <c r="AL8" s="20">
        <f t="shared" si="4"/>
        <v>37.286664670681112</v>
      </c>
      <c r="AM8" s="59">
        <f t="shared" si="5"/>
        <v>330.61999800401441</v>
      </c>
      <c r="AN8" s="59">
        <f ca="1">AVERAGE(OFFSET($AM$3,0,0,'Données projet'!$E$10+1,1))-AVERAGE(OFFSET($H$3,0,0,'Données projet'!$E$10+1,1))</f>
        <v>206.25389915739601</v>
      </c>
      <c r="AO8" s="59">
        <f t="shared" si="36"/>
        <v>155.24154927193064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5.0543999999999993</v>
      </c>
      <c r="D9" s="11">
        <f t="shared" si="32"/>
        <v>1.9289213986285076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53.906340620991983</v>
      </c>
      <c r="H9" s="67">
        <f t="shared" si="1"/>
        <v>305.49595143594462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4.5104999999999995</v>
      </c>
      <c r="N9" s="13">
        <f>IF('Données projet'!$A$36&gt;35,N8+M9-V8,IF(A9&lt;'Données projet'!$A$36,$K$205^A9,IF(A9='Données projet'!$A$36,'Données projet'!$B$36,N8+M9-V8)))</f>
        <v>27.062999999999999</v>
      </c>
      <c r="O9" s="13">
        <f>N9*VLOOKUP('Données projet'!$B$9,Paramètres!$A$1:$I$89,3,0)*VLOOKUP('Données projet'!$B$9,Paramètres!$A$1:$I$89,5,0)</f>
        <v>24.486602399999999</v>
      </c>
      <c r="P9" s="13">
        <f t="shared" si="33"/>
        <v>7.7769501204096985</v>
      </c>
      <c r="Q9" s="20">
        <f t="shared" si="2"/>
        <v>56.192353973046885</v>
      </c>
      <c r="R9" s="59">
        <f t="shared" si="0"/>
        <v>349.52568730638018</v>
      </c>
      <c r="S9" s="59">
        <f ca="1">AVERAGE(OFFSET($R$3,0,0,'Données projet'!$E$9+1,1))-AVERAGE(OFFSET($H$3,0,0,'Données projet'!$E$9+1,1))</f>
        <v>233.2883475283553</v>
      </c>
      <c r="T9" s="59">
        <f t="shared" si="34"/>
        <v>211.4485324078031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3.8113157894736847</v>
      </c>
      <c r="AI9" s="13">
        <f>IF('Données projet'!$A$62&gt;35,AI8+AH9-AQ8,IF(A9&lt;'Données projet'!$A$62,$AF$205^A9,IF(A9='Données projet'!$A$62,'Données projet'!$B$62,AI8+AH9-AQ8)))</f>
        <v>22.867894736842107</v>
      </c>
      <c r="AJ9" s="13">
        <f>AI9*VLOOKUP('Données projet'!$B$10,Paramètres!$A$1:$I$89,3,0)*VLOOKUP('Données projet'!$B$10,Paramètres!$A$1:$I$89,5,0)</f>
        <v>19.263914526315794</v>
      </c>
      <c r="AK9" s="13">
        <f t="shared" si="35"/>
        <v>6.2914730807403405</v>
      </c>
      <c r="AL9" s="20">
        <f t="shared" si="4"/>
        <v>44.508966748956091</v>
      </c>
      <c r="AM9" s="59">
        <f t="shared" si="5"/>
        <v>337.8423000822894</v>
      </c>
      <c r="AN9" s="59">
        <f ca="1">AVERAGE(OFFSET($AM$3,0,0,'Données projet'!$E$10+1,1))-AVERAGE(OFFSET($H$3,0,0,'Données projet'!$E$10+1,1))</f>
        <v>206.25389915739601</v>
      </c>
      <c r="AO9" s="59">
        <f t="shared" si="36"/>
        <v>155.24154927193064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5.8967999999999989</v>
      </c>
      <c r="D10" s="11">
        <f t="shared" si="32"/>
        <v>2.210389018649412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62.581809968521775</v>
      </c>
      <c r="H10" s="67">
        <f t="shared" si="1"/>
        <v>307.45335420748103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4.5104999999999995</v>
      </c>
      <c r="N10" s="13">
        <f>IF('Données projet'!$A$36&gt;35,N9+M10-V9,IF(A10&lt;'Données projet'!$A$36,$K$205^A10,IF(A10='Données projet'!$A$36,'Données projet'!$B$36,N9+M10-V9)))</f>
        <v>31.573499999999999</v>
      </c>
      <c r="O10" s="13">
        <f>N10*VLOOKUP('Données projet'!$B$9,Paramètres!$A$1:$I$89,3,0)*VLOOKUP('Données projet'!$B$9,Paramètres!$A$1:$I$89,5,0)</f>
        <v>28.567702799999999</v>
      </c>
      <c r="P10" s="13">
        <f t="shared" si="33"/>
        <v>8.9117603013581732</v>
      </c>
      <c r="Q10" s="20">
        <f t="shared" si="2"/>
        <v>65.276731568198812</v>
      </c>
      <c r="R10" s="59">
        <f t="shared" si="0"/>
        <v>358.61006490153216</v>
      </c>
      <c r="S10" s="59">
        <f ca="1">AVERAGE(OFFSET($R$3,0,0,'Données projet'!$E$9+1,1))-AVERAGE(OFFSET($H$3,0,0,'Données projet'!$E$9+1,1))</f>
        <v>233.2883475283553</v>
      </c>
      <c r="T10" s="59">
        <f t="shared" si="34"/>
        <v>211.4485324078031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3.8113157894736847</v>
      </c>
      <c r="AI10" s="13">
        <f>IF('Données projet'!$A$62&gt;35,AI9+AH10-AQ9,IF(A10&lt;'Données projet'!$A$62,$AF$205^A10,IF(A10='Données projet'!$A$62,'Données projet'!$B$62,AI9+AH10-AQ9)))</f>
        <v>26.679210526315792</v>
      </c>
      <c r="AJ10" s="13">
        <f>AI10*VLOOKUP('Données projet'!$B$10,Paramètres!$A$1:$I$89,3,0)*VLOOKUP('Données projet'!$B$10,Paramètres!$A$1:$I$89,5,0)</f>
        <v>22.474566947368427</v>
      </c>
      <c r="AK10" s="13">
        <f t="shared" si="35"/>
        <v>7.2095229067833655</v>
      </c>
      <c r="AL10" s="20">
        <f t="shared" si="4"/>
        <v>51.699789829314369</v>
      </c>
      <c r="AM10" s="59">
        <f t="shared" si="5"/>
        <v>345.03312316264771</v>
      </c>
      <c r="AN10" s="59">
        <f ca="1">AVERAGE(OFFSET($AM$3,0,0,'Données projet'!$E$10+1,1))-AVERAGE(OFFSET($H$3,0,0,'Données projet'!$E$10+1,1))</f>
        <v>206.25389915739601</v>
      </c>
      <c r="AO10" s="59">
        <f t="shared" si="36"/>
        <v>155.24154927193064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6.7391999999999985</v>
      </c>
      <c r="D11" s="11">
        <f t="shared" si="32"/>
        <v>2.4871982224923754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71.221319612221848</v>
      </c>
      <c r="H11" s="67">
        <f t="shared" si="1"/>
        <v>309.40264357084084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4.5104999999999995</v>
      </c>
      <c r="N11" s="13">
        <f>IF('Données projet'!$A$36&gt;35,N10+M11-V10,IF(A11&lt;'Données projet'!$A$36,$K$205^A11,IF(A11='Données projet'!$A$36,'Données projet'!$B$36,N10+M11-V10)))</f>
        <v>36.083999999999996</v>
      </c>
      <c r="O11" s="13">
        <f>N11*VLOOKUP('Données projet'!$B$9,Paramètres!$A$1:$I$89,3,0)*VLOOKUP('Données projet'!$B$9,Paramètres!$A$1:$I$89,5,0)</f>
        <v>32.648803199999996</v>
      </c>
      <c r="P11" s="13">
        <f t="shared" si="33"/>
        <v>10.027788861509803</v>
      </c>
      <c r="Q11" s="20">
        <f t="shared" si="2"/>
        <v>74.328397840462898</v>
      </c>
      <c r="R11" s="59">
        <f t="shared" si="0"/>
        <v>367.66173117379623</v>
      </c>
      <c r="S11" s="59">
        <f ca="1">AVERAGE(OFFSET($R$3,0,0,'Données projet'!$E$9+1,1))-AVERAGE(OFFSET($H$3,0,0,'Données projet'!$E$9+1,1))</f>
        <v>233.2883475283553</v>
      </c>
      <c r="T11" s="59">
        <f t="shared" si="34"/>
        <v>211.4485324078031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3.8113157894736847</v>
      </c>
      <c r="AI11" s="13">
        <f>IF('Données projet'!$A$62&gt;35,AI10+AH11-AQ10,IF(A11&lt;'Données projet'!$A$62,$AF$205^A11,IF(A11='Données projet'!$A$62,'Données projet'!$B$62,AI10+AH11-AQ10)))</f>
        <v>30.490526315789477</v>
      </c>
      <c r="AJ11" s="13">
        <f>AI11*VLOOKUP('Données projet'!$B$10,Paramètres!$A$1:$I$89,3,0)*VLOOKUP('Données projet'!$B$10,Paramètres!$A$1:$I$89,5,0)</f>
        <v>25.685219368421055</v>
      </c>
      <c r="AK11" s="13">
        <f t="shared" si="35"/>
        <v>8.1123785937581836</v>
      </c>
      <c r="AL11" s="20">
        <f t="shared" si="4"/>
        <v>58.864149784128841</v>
      </c>
      <c r="AM11" s="59">
        <f t="shared" si="5"/>
        <v>352.19748311746218</v>
      </c>
      <c r="AN11" s="59">
        <f ca="1">AVERAGE(OFFSET($AM$3,0,0,'Données projet'!$E$10+1,1))-AVERAGE(OFFSET($H$3,0,0,'Données projet'!$E$10+1,1))</f>
        <v>206.25389915739601</v>
      </c>
      <c r="AO11" s="59">
        <f t="shared" si="36"/>
        <v>155.24154927193064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7.5815999999999981</v>
      </c>
      <c r="D12" s="11">
        <f t="shared" si="32"/>
        <v>2.7599980008691158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79.829879304954574</v>
      </c>
      <c r="H12" s="67">
        <f t="shared" si="1"/>
        <v>311.34494985151366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4.5104999999999995</v>
      </c>
      <c r="N12" s="13">
        <f>IF('Données projet'!$A$36&gt;35,N11+M12-V11,IF(A12&lt;'Données projet'!$A$36,$K$205^A12,IF(A12='Données projet'!$A$36,'Données projet'!$B$36,N11+M12-V11)))</f>
        <v>40.594499999999996</v>
      </c>
      <c r="O12" s="13">
        <f>N12*VLOOKUP('Données projet'!$B$9,Paramètres!$A$1:$I$89,3,0)*VLOOKUP('Données projet'!$B$9,Paramètres!$A$1:$I$89,5,0)</f>
        <v>36.729903599999993</v>
      </c>
      <c r="P12" s="13">
        <f t="shared" si="33"/>
        <v>11.127652376323411</v>
      </c>
      <c r="Q12" s="20">
        <f t="shared" si="2"/>
        <v>83.351909992096594</v>
      </c>
      <c r="R12" s="59">
        <f t="shared" si="0"/>
        <v>376.68524332542989</v>
      </c>
      <c r="S12" s="59">
        <f ca="1">AVERAGE(OFFSET($R$3,0,0,'Données projet'!$E$9+1,1))-AVERAGE(OFFSET($H$3,0,0,'Données projet'!$E$9+1,1))</f>
        <v>233.2883475283553</v>
      </c>
      <c r="T12" s="59">
        <f t="shared" si="34"/>
        <v>211.4485324078031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3.8113157894736847</v>
      </c>
      <c r="AI12" s="13">
        <f>IF('Données projet'!$A$62&gt;35,AI11+AH12-AQ11,IF(A12&lt;'Données projet'!$A$62,$AF$205^A12,IF(A12='Données projet'!$A$62,'Données projet'!$B$62,AI11+AH12-AQ11)))</f>
        <v>34.301842105263162</v>
      </c>
      <c r="AJ12" s="13">
        <f>AI12*VLOOKUP('Données projet'!$B$10,Paramètres!$A$1:$I$89,3,0)*VLOOKUP('Données projet'!$B$10,Paramètres!$A$1:$I$89,5,0)</f>
        <v>28.895871789473688</v>
      </c>
      <c r="AK12" s="13">
        <f t="shared" si="35"/>
        <v>9.002156924440559</v>
      </c>
      <c r="AL12" s="20">
        <f t="shared" si="4"/>
        <v>66.005733343400635</v>
      </c>
      <c r="AM12" s="59">
        <f t="shared" si="5"/>
        <v>359.33906667673398</v>
      </c>
      <c r="AN12" s="59">
        <f ca="1">AVERAGE(OFFSET($AM$3,0,0,'Données projet'!$E$10+1,1))-AVERAGE(OFFSET($H$3,0,0,'Données projet'!$E$10+1,1))</f>
        <v>206.25389915739601</v>
      </c>
      <c r="AO12" s="59">
        <f t="shared" si="36"/>
        <v>155.24154927193064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8.4239999999999977</v>
      </c>
      <c r="D13" s="11">
        <f t="shared" si="32"/>
        <v>3.0292846636388129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88.411320210545213</v>
      </c>
      <c r="H13" s="67">
        <f t="shared" si="1"/>
        <v>313.28113745583755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4.5104999999999995</v>
      </c>
      <c r="N13" s="13">
        <f>IF('Données projet'!$A$36&gt;35,N12+M13-V12,IF(A13&lt;'Données projet'!$A$36,$K$205^A13,IF(A13='Données projet'!$A$36,'Données projet'!$B$36,N12+M13-V12)))</f>
        <v>45.104999999999997</v>
      </c>
      <c r="O13" s="13">
        <f>N13*VLOOKUP('Données projet'!$B$9,Paramètres!$A$1:$I$89,3,0)*VLOOKUP('Données projet'!$B$9,Paramètres!$A$1:$I$89,5,0)</f>
        <v>40.811003999999997</v>
      </c>
      <c r="P13" s="13">
        <f t="shared" si="33"/>
        <v>12.213351848546885</v>
      </c>
      <c r="Q13" s="20">
        <f t="shared" si="2"/>
        <v>92.350753102885804</v>
      </c>
      <c r="R13" s="59">
        <f t="shared" si="0"/>
        <v>385.6840864362191</v>
      </c>
      <c r="S13" s="59">
        <f ca="1">AVERAGE(OFFSET($R$3,0,0,'Données projet'!$E$9+1,1))-AVERAGE(OFFSET($H$3,0,0,'Données projet'!$E$9+1,1))</f>
        <v>233.2883475283553</v>
      </c>
      <c r="T13" s="59">
        <f t="shared" si="34"/>
        <v>211.4485324078031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3.8113157894736847</v>
      </c>
      <c r="AI13" s="13">
        <f>IF('Données projet'!$A$62&gt;35,AI12+AH13-AQ12,IF(A13&lt;'Données projet'!$A$62,$AF$205^A13,IF(A13='Données projet'!$A$62,'Données projet'!$B$62,AI12+AH13-AQ12)))</f>
        <v>38.113157894736844</v>
      </c>
      <c r="AJ13" s="13">
        <f>AI13*VLOOKUP('Données projet'!$B$10,Paramètres!$A$1:$I$89,3,0)*VLOOKUP('Données projet'!$B$10,Paramètres!$A$1:$I$89,5,0)</f>
        <v>32.106524210526324</v>
      </c>
      <c r="AK13" s="13">
        <f t="shared" si="35"/>
        <v>9.8804766895811049</v>
      </c>
      <c r="AL13" s="20">
        <f t="shared" si="4"/>
        <v>73.127359901020441</v>
      </c>
      <c r="AM13" s="59">
        <f t="shared" si="5"/>
        <v>366.46069323435376</v>
      </c>
      <c r="AN13" s="59">
        <f ca="1">AVERAGE(OFFSET($AM$3,0,0,'Données projet'!$E$10+1,1))-AVERAGE(OFFSET($H$3,0,0,'Données projet'!$E$10+1,1))</f>
        <v>206.25389915739601</v>
      </c>
      <c r="AO13" s="59">
        <f t="shared" si="36"/>
        <v>155.24154927193064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9.2663999999999973</v>
      </c>
      <c r="D14" s="11">
        <f t="shared" si="32"/>
        <v>3.2954495146637965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96.968662920211742</v>
      </c>
      <c r="H14" s="67">
        <f t="shared" si="1"/>
        <v>315.21188790470609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4.5104999999999995</v>
      </c>
      <c r="N14" s="13">
        <f>IF('Données projet'!$A$36&gt;35,N13+M14-V13,IF(A14&lt;'Données projet'!$A$36,$K$205^A14,IF(A14='Données projet'!$A$36,'Données projet'!$B$36,N13+M14-V13)))</f>
        <v>49.615499999999997</v>
      </c>
      <c r="O14" s="13">
        <f>N14*VLOOKUP('Données projet'!$B$9,Paramètres!$A$1:$I$89,3,0)*VLOOKUP('Données projet'!$B$9,Paramètres!$A$1:$I$89,5,0)</f>
        <v>44.892104400000001</v>
      </c>
      <c r="P14" s="13">
        <f t="shared" si="33"/>
        <v>13.28646492184232</v>
      </c>
      <c r="Q14" s="20">
        <f t="shared" si="2"/>
        <v>101.3276749022087</v>
      </c>
      <c r="R14" s="59">
        <f t="shared" si="0"/>
        <v>394.661008235542</v>
      </c>
      <c r="S14" s="59">
        <f ca="1">AVERAGE(OFFSET($R$3,0,0,'Données projet'!$E$9+1,1))-AVERAGE(OFFSET($H$3,0,0,'Données projet'!$E$9+1,1))</f>
        <v>233.2883475283553</v>
      </c>
      <c r="T14" s="59">
        <f t="shared" si="34"/>
        <v>211.4485324078031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3.8113157894736847</v>
      </c>
      <c r="AI14" s="13">
        <f>IF('Données projet'!$A$62&gt;35,AI13+AH14-AQ13,IF(A14&lt;'Données projet'!$A$62,$AF$205^A14,IF(A14='Données projet'!$A$62,'Données projet'!$B$62,AI13+AH14-AQ13)))</f>
        <v>41.924473684210525</v>
      </c>
      <c r="AJ14" s="13">
        <f>AI14*VLOOKUP('Données projet'!$B$10,Paramètres!$A$1:$I$89,3,0)*VLOOKUP('Données projet'!$B$10,Paramètres!$A$1:$I$89,5,0)</f>
        <v>35.317176631578953</v>
      </c>
      <c r="AK14" s="13">
        <f t="shared" si="35"/>
        <v>10.748614186761438</v>
      </c>
      <c r="AL14" s="20">
        <f t="shared" si="4"/>
        <v>80.231252341942835</v>
      </c>
      <c r="AM14" s="59">
        <f t="shared" si="5"/>
        <v>373.56458567527613</v>
      </c>
      <c r="AN14" s="59">
        <f ca="1">AVERAGE(OFFSET($AM$3,0,0,'Données projet'!$E$10+1,1))-AVERAGE(OFFSET($H$3,0,0,'Données projet'!$E$10+1,1))</f>
        <v>206.25389915739601</v>
      </c>
      <c r="AO14" s="59">
        <f t="shared" si="36"/>
        <v>155.24154927193064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10.108799999999997</v>
      </c>
      <c r="D15" s="11">
        <f t="shared" si="32"/>
        <v>3.5588086309400957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105.50434732655511</v>
      </c>
      <c r="H15" s="67">
        <f t="shared" si="1"/>
        <v>317.13775169888731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4.5104999999999995</v>
      </c>
      <c r="N15" s="13">
        <f>IF('Données projet'!$A$36&gt;35,N14+M15-V14,IF(A15&lt;'Données projet'!$A$36,$K$205^A15,IF(A15='Données projet'!$A$36,'Données projet'!$B$36,N14+M15-V14)))</f>
        <v>54.125999999999998</v>
      </c>
      <c r="O15" s="13">
        <f>N15*VLOOKUP('Données projet'!$B$9,Paramètres!$A$1:$I$89,3,0)*VLOOKUP('Données projet'!$B$9,Paramètres!$A$1:$I$89,5,0)</f>
        <v>48.973204799999998</v>
      </c>
      <c r="P15" s="13">
        <f t="shared" si="33"/>
        <v>14.348265943124062</v>
      </c>
      <c r="Q15" s="20">
        <f t="shared" si="2"/>
        <v>110.28489487760773</v>
      </c>
      <c r="R15" s="59">
        <f t="shared" si="0"/>
        <v>403.61822821094103</v>
      </c>
      <c r="S15" s="59">
        <f ca="1">AVERAGE(OFFSET($R$3,0,0,'Données projet'!$E$9+1,1))-AVERAGE(OFFSET($H$3,0,0,'Données projet'!$E$9+1,1))</f>
        <v>233.2883475283553</v>
      </c>
      <c r="T15" s="59">
        <f t="shared" si="34"/>
        <v>211.4485324078031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3.8113157894736847</v>
      </c>
      <c r="AI15" s="13">
        <f>IF('Données projet'!$A$62&gt;35,AI14+AH15-AQ14,IF(A15&lt;'Données projet'!$A$62,$AF$205^A15,IF(A15='Données projet'!$A$62,'Données projet'!$B$62,AI14+AH15-AQ14)))</f>
        <v>45.735789473684207</v>
      </c>
      <c r="AJ15" s="13">
        <f>AI15*VLOOKUP('Données projet'!$B$10,Paramètres!$A$1:$I$89,3,0)*VLOOKUP('Données projet'!$B$10,Paramètres!$A$1:$I$89,5,0)</f>
        <v>38.527829052631581</v>
      </c>
      <c r="AK15" s="13">
        <f t="shared" si="35"/>
        <v>11.607600349597307</v>
      </c>
      <c r="AL15" s="20">
        <f t="shared" si="4"/>
        <v>87.319206208881965</v>
      </c>
      <c r="AM15" s="59">
        <f t="shared" si="5"/>
        <v>380.65253954221527</v>
      </c>
      <c r="AN15" s="59">
        <f ca="1">AVERAGE(OFFSET($AM$3,0,0,'Données projet'!$E$10+1,1))-AVERAGE(OFFSET($H$3,0,0,'Données projet'!$E$10+1,1))</f>
        <v>206.25389915739601</v>
      </c>
      <c r="AO15" s="59">
        <f t="shared" si="36"/>
        <v>155.24154927193064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10.951199999999996</v>
      </c>
      <c r="D16" s="11">
        <f t="shared" si="32"/>
        <v>3.8196224059570834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114.02038348458098</v>
      </c>
      <c r="H16" s="67">
        <f t="shared" si="1"/>
        <v>319.05918235704189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4.5104999999999995</v>
      </c>
      <c r="N16" s="13">
        <f>IF('Données projet'!$A$36&gt;35,N15+M16-V15,IF(A16&lt;'Données projet'!$A$36,$K$205^A16,IF(A16='Données projet'!$A$36,'Données projet'!$B$36,N15+M16-V15)))</f>
        <v>58.636499999999998</v>
      </c>
      <c r="O16" s="13">
        <f>N16*VLOOKUP('Données projet'!$B$9,Paramètres!$A$1:$I$89,3,0)*VLOOKUP('Données projet'!$B$9,Paramètres!$A$1:$I$89,5,0)</f>
        <v>53.054305199999995</v>
      </c>
      <c r="P16" s="13">
        <f t="shared" si="33"/>
        <v>15.399804756714417</v>
      </c>
      <c r="Q16" s="20">
        <f t="shared" si="2"/>
        <v>119.22424150794426</v>
      </c>
      <c r="R16" s="59">
        <f t="shared" si="0"/>
        <v>412.55757484127759</v>
      </c>
      <c r="S16" s="59">
        <f ca="1">AVERAGE(OFFSET($R$3,0,0,'Données projet'!$E$9+1,1))-AVERAGE(OFFSET($H$3,0,0,'Données projet'!$E$9+1,1))</f>
        <v>233.2883475283553</v>
      </c>
      <c r="T16" s="59">
        <f t="shared" si="34"/>
        <v>211.4485324078031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3.8113157894736847</v>
      </c>
      <c r="AI16" s="13">
        <f>IF('Données projet'!$A$62&gt;35,AI15+AH16-AQ15,IF(A16&lt;'Données projet'!$A$62,$AF$205^A16,IF(A16='Données projet'!$A$62,'Données projet'!$B$62,AI15+AH16-AQ15)))</f>
        <v>49.547105263157889</v>
      </c>
      <c r="AJ16" s="13">
        <f>AI16*VLOOKUP('Données projet'!$B$10,Paramètres!$A$1:$I$89,3,0)*VLOOKUP('Données projet'!$B$10,Paramètres!$A$1:$I$89,5,0)</f>
        <v>41.73848147368421</v>
      </c>
      <c r="AK16" s="13">
        <f t="shared" si="35"/>
        <v>12.458284491404413</v>
      </c>
      <c r="AL16" s="20">
        <f t="shared" si="4"/>
        <v>94.392700722529355</v>
      </c>
      <c r="AM16" s="59">
        <f t="shared" si="5"/>
        <v>387.72603405586267</v>
      </c>
      <c r="AN16" s="59">
        <f ca="1">AVERAGE(OFFSET($AM$3,0,0,'Données projet'!$E$10+1,1))-AVERAGE(OFFSET($H$3,0,0,'Données projet'!$E$10+1,1))</f>
        <v>206.25389915739601</v>
      </c>
      <c r="AO16" s="59">
        <f t="shared" si="36"/>
        <v>155.24154927193064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11.793599999999996</v>
      </c>
      <c r="D17" s="11">
        <f t="shared" si="32"/>
        <v>4.0781088969710364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122.51845464328517</v>
      </c>
      <c r="H17" s="67">
        <f t="shared" si="1"/>
        <v>320.97655966222453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4.5104999999999995</v>
      </c>
      <c r="N17" s="13">
        <f>IF('Données projet'!$A$36&gt;35,N16+M17-V16,IF(A17&lt;'Données projet'!$A$36,$K$205^A17,IF(A17='Données projet'!$A$36,'Données projet'!$B$36,N16+M17-V16)))</f>
        <v>63.146999999999998</v>
      </c>
      <c r="O17" s="13">
        <f>N17*VLOOKUP('Données projet'!$B$9,Paramètres!$A$1:$I$89,3,0)*VLOOKUP('Données projet'!$B$9,Paramètres!$A$1:$I$89,5,0)</f>
        <v>57.135405599999999</v>
      </c>
      <c r="P17" s="13">
        <f t="shared" si="33"/>
        <v>16.441960517361039</v>
      </c>
      <c r="Q17" s="20">
        <f t="shared" si="2"/>
        <v>128.14724598773714</v>
      </c>
      <c r="R17" s="59">
        <f t="shared" si="0"/>
        <v>421.48057932107042</v>
      </c>
      <c r="S17" s="59">
        <f ca="1">AVERAGE(OFFSET($R$3,0,0,'Données projet'!$E$9+1,1))-AVERAGE(OFFSET($H$3,0,0,'Données projet'!$E$9+1,1))</f>
        <v>233.2883475283553</v>
      </c>
      <c r="T17" s="59">
        <f t="shared" si="34"/>
        <v>211.4485324078031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3.8113157894736847</v>
      </c>
      <c r="AI17" s="13">
        <f>IF('Données projet'!$A$62&gt;35,AI16+AH17-AQ16,IF(A17&lt;'Données projet'!$A$62,$AF$205^A17,IF(A17='Données projet'!$A$62,'Données projet'!$B$62,AI16+AH17-AQ16)))</f>
        <v>53.35842105263157</v>
      </c>
      <c r="AJ17" s="13">
        <f>AI17*VLOOKUP('Données projet'!$B$10,Paramètres!$A$1:$I$89,3,0)*VLOOKUP('Données projet'!$B$10,Paramètres!$A$1:$I$89,5,0)</f>
        <v>44.949133894736839</v>
      </c>
      <c r="AK17" s="13">
        <f t="shared" si="35"/>
        <v>13.301377839378887</v>
      </c>
      <c r="AL17" s="20">
        <f t="shared" si="4"/>
        <v>101.45297460358488</v>
      </c>
      <c r="AM17" s="59">
        <f t="shared" si="5"/>
        <v>394.78630793691821</v>
      </c>
      <c r="AN17" s="59">
        <f ca="1">AVERAGE(OFFSET($AM$3,0,0,'Données projet'!$E$10+1,1))-AVERAGE(OFFSET($H$3,0,0,'Données projet'!$E$10+1,1))</f>
        <v>206.25389915739601</v>
      </c>
      <c r="AO17" s="59">
        <f t="shared" si="36"/>
        <v>155.24154927193064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12.635999999999996</v>
      </c>
      <c r="D18" s="11">
        <f t="shared" si="32"/>
        <v>4.3344532450369764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130.99998996168893</v>
      </c>
      <c r="H18" s="67">
        <f t="shared" si="1"/>
        <v>322.8902060684394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4.5104999999999995</v>
      </c>
      <c r="N18" s="13">
        <f>IF('Données projet'!$A$36&gt;35,N17+M18-V17,IF(A18&lt;'Données projet'!$A$36,$K$205^A18,IF(A18='Données projet'!$A$36,'Données projet'!$B$36,N17+M18-V17)))</f>
        <v>67.657499999999999</v>
      </c>
      <c r="O18" s="13">
        <f>N18*VLOOKUP('Données projet'!$B$9,Paramètres!$A$1:$I$89,3,0)*VLOOKUP('Données projet'!$B$9,Paramètres!$A$1:$I$89,5,0)</f>
        <v>61.216505999999995</v>
      </c>
      <c r="P18" s="13">
        <f t="shared" si="33"/>
        <v>17.47547966955419</v>
      </c>
      <c r="Q18" s="20">
        <f t="shared" si="2"/>
        <v>137.05520837447355</v>
      </c>
      <c r="R18" s="59">
        <f t="shared" si="0"/>
        <v>430.38854170780689</v>
      </c>
      <c r="S18" s="59">
        <f ca="1">AVERAGE(OFFSET($R$3,0,0,'Données projet'!$E$9+1,1))-AVERAGE(OFFSET($H$3,0,0,'Données projet'!$E$9+1,1))</f>
        <v>233.2883475283553</v>
      </c>
      <c r="T18" s="59">
        <f t="shared" si="34"/>
        <v>211.4485324078031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3.8113157894736847</v>
      </c>
      <c r="AI18" s="13">
        <f>IF('Données projet'!$A$62&gt;35,AI17+AH18-AQ17,IF(A18&lt;'Données projet'!$A$62,$AF$205^A18,IF(A18='Données projet'!$A$62,'Données projet'!$B$62,AI17+AH18-AQ17)))</f>
        <v>57.169736842105252</v>
      </c>
      <c r="AJ18" s="13">
        <f>AI18*VLOOKUP('Données projet'!$B$10,Paramètres!$A$1:$I$89,3,0)*VLOOKUP('Données projet'!$B$10,Paramètres!$A$1:$I$89,5,0)</f>
        <v>48.159786315789468</v>
      </c>
      <c r="AK18" s="13">
        <f t="shared" si="35"/>
        <v>14.1374842594764</v>
      </c>
      <c r="AL18" s="20">
        <f t="shared" si="4"/>
        <v>108.50107958525473</v>
      </c>
      <c r="AM18" s="59">
        <f t="shared" si="5"/>
        <v>401.83441291858804</v>
      </c>
      <c r="AN18" s="59">
        <f ca="1">AVERAGE(OFFSET($AM$3,0,0,'Données projet'!$E$10+1,1))-AVERAGE(OFFSET($H$3,0,0,'Données projet'!$E$10+1,1))</f>
        <v>206.25389915739601</v>
      </c>
      <c r="AO18" s="59">
        <f t="shared" si="36"/>
        <v>155.24154927193064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13.478399999999995</v>
      </c>
      <c r="D19" s="11">
        <f t="shared" si="32"/>
        <v>4.5888145091646821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139.46621726372734</v>
      </c>
      <c r="H19" s="67">
        <f t="shared" si="1"/>
        <v>324.80039860346182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4.5104999999999995</v>
      </c>
      <c r="N19" s="13">
        <f>IF('Données projet'!$A$36&gt;35,N18+M19-V18,IF(A19&lt;'Données projet'!$A$36,$K$205^A19,IF(A19='Données projet'!$A$36,'Données projet'!$B$36,N18+M19-V18)))</f>
        <v>72.167999999999992</v>
      </c>
      <c r="O19" s="13">
        <f>N19*VLOOKUP('Données projet'!$B$9,Paramètres!$A$1:$I$89,3,0)*VLOOKUP('Données projet'!$B$9,Paramètres!$A$1:$I$89,5,0)</f>
        <v>65.297606399999992</v>
      </c>
      <c r="P19" s="13">
        <f t="shared" si="33"/>
        <v>18.501003501210587</v>
      </c>
      <c r="Q19" s="20">
        <f t="shared" si="2"/>
        <v>145.94924557794175</v>
      </c>
      <c r="R19" s="59">
        <f t="shared" si="0"/>
        <v>439.2825789112751</v>
      </c>
      <c r="S19" s="59">
        <f ca="1">AVERAGE(OFFSET($R$3,0,0,'Données projet'!$E$9+1,1))-AVERAGE(OFFSET($H$3,0,0,'Données projet'!$E$9+1,1))</f>
        <v>233.2883475283553</v>
      </c>
      <c r="T19" s="59">
        <f t="shared" si="34"/>
        <v>211.4485324078031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3.8113157894736847</v>
      </c>
      <c r="AI19" s="13">
        <f>IF('Données projet'!$A$62&gt;35,AI18+AH19-AQ18,IF(A19&lt;'Données projet'!$A$62,$AF$205^A19,IF(A19='Données projet'!$A$62,'Données projet'!$B$62,AI18+AH19-AQ18)))</f>
        <v>60.981052631578933</v>
      </c>
      <c r="AJ19" s="13">
        <f>AI19*VLOOKUP('Données projet'!$B$10,Paramètres!$A$1:$I$89,3,0)*VLOOKUP('Données projet'!$B$10,Paramètres!$A$1:$I$89,5,0)</f>
        <v>51.370438736842104</v>
      </c>
      <c r="AK19" s="13">
        <f t="shared" si="35"/>
        <v>14.967122547060546</v>
      </c>
      <c r="AL19" s="20">
        <f t="shared" si="4"/>
        <v>115.53791923613043</v>
      </c>
      <c r="AM19" s="59">
        <f t="shared" si="5"/>
        <v>408.87125256946376</v>
      </c>
      <c r="AN19" s="59">
        <f ca="1">AVERAGE(OFFSET($AM$3,0,0,'Données projet'!$E$10+1,1))-AVERAGE(OFFSET($H$3,0,0,'Données projet'!$E$10+1,1))</f>
        <v>206.25389915739601</v>
      </c>
      <c r="AO19" s="59">
        <f t="shared" si="36"/>
        <v>155.24154927193064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14.320799999999995</v>
      </c>
      <c r="D20" s="11">
        <f t="shared" si="32"/>
        <v>4.8413307422321967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147.91820222073974</v>
      </c>
      <c r="H20" s="67">
        <f t="shared" si="1"/>
        <v>326.70737770938774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4.5104999999999995</v>
      </c>
      <c r="N20" s="13">
        <f>IF('Données projet'!$A$36&gt;35,N19+M20-V19,IF(A20&lt;'Données projet'!$A$36,$K$205^A20,IF(A20='Données projet'!$A$36,'Données projet'!$B$36,N19+M20-V19)))</f>
        <v>76.678499999999985</v>
      </c>
      <c r="O20" s="13">
        <f>N20*VLOOKUP('Données projet'!$B$9,Paramètres!$A$1:$I$89,3,0)*VLOOKUP('Données projet'!$B$9,Paramètres!$A$1:$I$89,5,0)</f>
        <v>69.378706799999989</v>
      </c>
      <c r="P20" s="13">
        <f t="shared" si="33"/>
        <v>19.519088608543676</v>
      </c>
      <c r="Q20" s="20">
        <f t="shared" si="2"/>
        <v>154.83032700321354</v>
      </c>
      <c r="R20" s="59">
        <f t="shared" si="0"/>
        <v>448.16366033654685</v>
      </c>
      <c r="S20" s="59">
        <f ca="1">AVERAGE(OFFSET($R$3,0,0,'Données projet'!$E$9+1,1))-AVERAGE(OFFSET($H$3,0,0,'Données projet'!$E$9+1,1))</f>
        <v>233.2883475283553</v>
      </c>
      <c r="T20" s="59">
        <f t="shared" si="34"/>
        <v>211.4485324078031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3.8113157894736847</v>
      </c>
      <c r="AI20" s="13">
        <f>IF('Données projet'!$A$62&gt;35,AI19+AH20-AQ19,IF(A20&lt;'Données projet'!$A$62,$AF$205^A20,IF(A20='Données projet'!$A$62,'Données projet'!$B$62,AI19+AH20-AQ19)))</f>
        <v>64.792368421052615</v>
      </c>
      <c r="AJ20" s="13">
        <f>AI20*VLOOKUP('Données projet'!$B$10,Paramètres!$A$1:$I$89,3,0)*VLOOKUP('Données projet'!$B$10,Paramètres!$A$1:$I$89,5,0)</f>
        <v>54.581091157894733</v>
      </c>
      <c r="AK20" s="13">
        <f t="shared" si="35"/>
        <v>15.790742982773375</v>
      </c>
      <c r="AL20" s="20">
        <f t="shared" si="4"/>
        <v>122.56427779499695</v>
      </c>
      <c r="AM20" s="59">
        <f t="shared" si="5"/>
        <v>415.89761112833025</v>
      </c>
      <c r="AN20" s="59">
        <f ca="1">AVERAGE(OFFSET($AM$3,0,0,'Données projet'!$E$10+1,1))-AVERAGE(OFFSET($H$3,0,0,'Données projet'!$E$10+1,1))</f>
        <v>206.25389915739601</v>
      </c>
      <c r="AO20" s="59">
        <f t="shared" si="36"/>
        <v>155.24154927193064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15.163199999999994</v>
      </c>
      <c r="D21" s="11">
        <f t="shared" si="32"/>
        <v>5.092122838107465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156.35687804854885</v>
      </c>
      <c r="H21" s="67">
        <f t="shared" si="1"/>
        <v>328.61135394303716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4.5104999999999995</v>
      </c>
      <c r="N21" s="13">
        <f>IF('Données projet'!$A$36&gt;35,N20+M21-V20,IF(A21&lt;'Données projet'!$A$36,$K$205^A21,IF(A21='Données projet'!$A$36,'Données projet'!$B$36,N20+M21-V20)))</f>
        <v>81.188999999999979</v>
      </c>
      <c r="O21" s="13">
        <f>N21*VLOOKUP('Données projet'!$B$9,Paramètres!$A$1:$I$89,3,0)*VLOOKUP('Données projet'!$B$9,Paramètres!$A$1:$I$89,5,0)</f>
        <v>73.459807199999972</v>
      </c>
      <c r="P21" s="13">
        <f t="shared" si="33"/>
        <v>20.530222406738734</v>
      </c>
      <c r="Q21" s="20">
        <f t="shared" si="2"/>
        <v>163.6993015650699</v>
      </c>
      <c r="R21" s="59">
        <f t="shared" si="0"/>
        <v>457.03263489840322</v>
      </c>
      <c r="S21" s="59">
        <f ca="1">AVERAGE(OFFSET($R$3,0,0,'Données projet'!$E$9+1,1))-AVERAGE(OFFSET($H$3,0,0,'Données projet'!$E$9+1,1))</f>
        <v>233.2883475283553</v>
      </c>
      <c r="T21" s="59">
        <f t="shared" si="34"/>
        <v>211.4485324078031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3.8113157894736847</v>
      </c>
      <c r="AI21" s="13">
        <f>IF('Données projet'!$A$62&gt;35,AI20+AH21-AQ20,IF(A21&lt;'Données projet'!$A$62,$AF$205^A21,IF(A21='Données projet'!$A$62,'Données projet'!$B$62,AI20+AH21-AQ20)))</f>
        <v>68.603684210526296</v>
      </c>
      <c r="AJ21" s="13">
        <f>AI21*VLOOKUP('Données projet'!$B$10,Paramètres!$A$1:$I$89,3,0)*VLOOKUP('Données projet'!$B$10,Paramètres!$A$1:$I$89,5,0)</f>
        <v>57.791743578947354</v>
      </c>
      <c r="AK21" s="13">
        <f t="shared" si="35"/>
        <v>16.608739880512992</v>
      </c>
      <c r="AL21" s="20">
        <f t="shared" si="4"/>
        <v>129.58084202522676</v>
      </c>
      <c r="AM21" s="59">
        <f t="shared" si="5"/>
        <v>422.9141753585601</v>
      </c>
      <c r="AN21" s="59">
        <f ca="1">AVERAGE(OFFSET($AM$3,0,0,'Données projet'!$E$10+1,1))-AVERAGE(OFFSET($H$3,0,0,'Données projet'!$E$10+1,1))</f>
        <v>206.25389915739601</v>
      </c>
      <c r="AO21" s="59">
        <f t="shared" si="36"/>
        <v>155.24154927193064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16.005599999999994</v>
      </c>
      <c r="D22" s="11">
        <f t="shared" si="32"/>
        <v>5.3412974993444138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164.78306841599192</v>
      </c>
      <c r="H22" s="67">
        <f t="shared" si="1"/>
        <v>330.51251314469147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4.5104999999999995</v>
      </c>
      <c r="N22" s="13">
        <f>IF('Données projet'!$A$36&gt;35,N21+M22-V21,IF(A22&lt;'Données projet'!$A$36,$K$205^A22,IF(A22='Données projet'!$A$36,'Données projet'!$B$36,N21+M22-V21)))</f>
        <v>85.699499999999972</v>
      </c>
      <c r="O22" s="13">
        <f>N22*VLOOKUP('Données projet'!$B$9,Paramètres!$A$1:$I$89,3,0)*VLOOKUP('Données projet'!$B$9,Paramètres!$A$1:$I$89,5,0)</f>
        <v>77.540907599999969</v>
      </c>
      <c r="P22" s="13">
        <f t="shared" si="33"/>
        <v>21.534835094994229</v>
      </c>
      <c r="Q22" s="20">
        <f t="shared" si="2"/>
        <v>172.5569185271149</v>
      </c>
      <c r="R22" s="59">
        <f t="shared" si="0"/>
        <v>465.89025186044819</v>
      </c>
      <c r="S22" s="59">
        <f ca="1">AVERAGE(OFFSET($R$3,0,0,'Données projet'!$E$9+1,1))-AVERAGE(OFFSET($H$3,0,0,'Données projet'!$E$9+1,1))</f>
        <v>233.2883475283553</v>
      </c>
      <c r="T22" s="59">
        <f t="shared" si="34"/>
        <v>211.4485324078031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3.8113157894736847</v>
      </c>
      <c r="AI22" s="13">
        <f>IF('Données projet'!$A$62&gt;35,AI21+AH22-AQ21,IF(A22&lt;'Données projet'!$A$62,$AF$205^A22,IF(A22='Données projet'!$A$62,'Données projet'!$B$62,AI21+AH22-AQ21)))</f>
        <v>72.414999999999978</v>
      </c>
      <c r="AJ22" s="13">
        <f>AI22*VLOOKUP('Données projet'!$B$10,Paramètres!$A$1:$I$89,3,0)*VLOOKUP('Données projet'!$B$10,Paramètres!$A$1:$I$89,5,0)</f>
        <v>61.002395999999983</v>
      </c>
      <c r="AK22" s="13">
        <f t="shared" si="35"/>
        <v>17.421461267029571</v>
      </c>
      <c r="AL22" s="20">
        <f t="shared" si="4"/>
        <v>136.58821807340979</v>
      </c>
      <c r="AM22" s="59">
        <f t="shared" si="5"/>
        <v>429.92155140674311</v>
      </c>
      <c r="AN22" s="59">
        <f ca="1">AVERAGE(OFFSET($AM$3,0,0,'Données projet'!$E$10+1,1))-AVERAGE(OFFSET($H$3,0,0,'Données projet'!$E$10+1,1))</f>
        <v>206.25389915739601</v>
      </c>
      <c r="AO22" s="59">
        <f t="shared" si="36"/>
        <v>155.24154927193064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16.847999999999995</v>
      </c>
      <c r="D23" s="11">
        <f t="shared" si="32"/>
        <v>5.5889495622773815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173.19750539301833</v>
      </c>
      <c r="H23" s="67">
        <f t="shared" si="1"/>
        <v>332.4110204876331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4.5104999999999995</v>
      </c>
      <c r="N23" s="13">
        <f>IF('Données projet'!$A$36&gt;35,N22+M23-V22,IF(A23&lt;'Données projet'!$A$36,$K$205^A23,IF(A23='Données projet'!$A$36,'Données projet'!$B$36,N22+M23-V22)))</f>
        <v>90.209999999999965</v>
      </c>
      <c r="O23" s="13">
        <f>N23*VLOOKUP('Données projet'!$B$9,Paramètres!$A$1:$I$89,3,0)*VLOOKUP('Données projet'!$B$9,Paramètres!$A$1:$I$89,5,0)</f>
        <v>81.622007999999965</v>
      </c>
      <c r="P23" s="13">
        <f t="shared" si="33"/>
        <v>22.53330903074696</v>
      </c>
      <c r="Q23" s="20">
        <f t="shared" si="2"/>
        <v>181.40384382855089</v>
      </c>
      <c r="R23" s="59">
        <f t="shared" si="0"/>
        <v>474.73717716188423</v>
      </c>
      <c r="S23" s="59">
        <f ca="1">AVERAGE(OFFSET($R$3,0,0,'Données projet'!$E$9+1,1))-AVERAGE(OFFSET($H$3,0,0,'Données projet'!$E$9+1,1))</f>
        <v>233.2883475283553</v>
      </c>
      <c r="T23" s="59">
        <f t="shared" si="34"/>
        <v>211.4485324078031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3.8113157894736847</v>
      </c>
      <c r="AI23" s="13">
        <f>IF('Données projet'!$A$62&gt;35,AI22+AH23-AQ22,IF(A23&lt;'Données projet'!$A$62,$AF$205^A23,IF(A23='Données projet'!$A$62,'Données projet'!$B$62,AI22+AH23-AQ22)))</f>
        <v>76.226315789473659</v>
      </c>
      <c r="AJ23" s="13">
        <f>AI23*VLOOKUP('Données projet'!$B$10,Paramètres!$A$1:$I$89,3,0)*VLOOKUP('Données projet'!$B$10,Paramètres!$A$1:$I$89,5,0)</f>
        <v>64.213048421052619</v>
      </c>
      <c r="AK23" s="13">
        <f t="shared" si="35"/>
        <v>18.229216465577537</v>
      </c>
      <c r="AL23" s="20">
        <f t="shared" si="4"/>
        <v>143.58694467754751</v>
      </c>
      <c r="AM23" s="59">
        <f t="shared" si="5"/>
        <v>436.92027801088079</v>
      </c>
      <c r="AN23" s="59">
        <f ca="1">AVERAGE(OFFSET($AM$3,0,0,'Données projet'!$E$10+1,1))-AVERAGE(OFFSET($H$3,0,0,'Données projet'!$E$10+1,1))</f>
        <v>206.25389915739601</v>
      </c>
      <c r="AO23" s="59">
        <f t="shared" si="36"/>
        <v>155.24154927193064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17.690399999999997</v>
      </c>
      <c r="D24" s="11">
        <f t="shared" si="32"/>
        <v>5.8351638438816122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181.60084370715629</v>
      </c>
      <c r="H24" s="67">
        <f t="shared" si="1"/>
        <v>334.30702369476046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4.5104999999999995</v>
      </c>
      <c r="N24" s="13">
        <f>IF('Données projet'!$A$36&gt;35,N23+M24-V23,IF(A24&lt;'Données projet'!$A$36,$K$205^A24,IF(A24='Données projet'!$A$36,'Données projet'!$B$36,N23+M24-V23)))</f>
        <v>94.720499999999959</v>
      </c>
      <c r="O24" s="13">
        <f>N24*VLOOKUP('Données projet'!$B$9,Paramètres!$A$1:$I$89,3,0)*VLOOKUP('Données projet'!$B$9,Paramètres!$A$1:$I$89,5,0)</f>
        <v>85.703108399999962</v>
      </c>
      <c r="P24" s="13">
        <f t="shared" si="33"/>
        <v>23.525986175772182</v>
      </c>
      <c r="Q24" s="20">
        <f t="shared" si="2"/>
        <v>190.24067305280312</v>
      </c>
      <c r="R24" s="59">
        <f t="shared" si="0"/>
        <v>483.57400638613643</v>
      </c>
      <c r="S24" s="59">
        <f ca="1">AVERAGE(OFFSET($R$3,0,0,'Données projet'!$E$9+1,1))-AVERAGE(OFFSET($H$3,0,0,'Données projet'!$E$9+1,1))</f>
        <v>233.2883475283553</v>
      </c>
      <c r="T24" s="59">
        <f t="shared" si="34"/>
        <v>211.4485324078031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3.8113157894736847</v>
      </c>
      <c r="AI24" s="13">
        <f>IF('Données projet'!$A$62&gt;35,AI23+AH24-AQ23,IF(A24&lt;'Données projet'!$A$62,$AF$205^A24,IF(A24='Données projet'!$A$62,'Données projet'!$B$62,AI23+AH24-AQ23)))</f>
        <v>80.037631578947341</v>
      </c>
      <c r="AJ24" s="13">
        <f>AI24*VLOOKUP('Données projet'!$B$10,Paramètres!$A$1:$I$89,3,0)*VLOOKUP('Données projet'!$B$10,Paramètres!$A$1:$I$89,5,0)</f>
        <v>67.423700842105248</v>
      </c>
      <c r="AK24" s="13">
        <f t="shared" si="35"/>
        <v>19.032282119734433</v>
      </c>
      <c r="AL24" s="20">
        <f t="shared" si="4"/>
        <v>150.57750365853744</v>
      </c>
      <c r="AM24" s="59">
        <f t="shared" si="5"/>
        <v>443.91083699187072</v>
      </c>
      <c r="AN24" s="59">
        <f ca="1">AVERAGE(OFFSET($AM$3,0,0,'Données projet'!$E$10+1,1))-AVERAGE(OFFSET($H$3,0,0,'Données projet'!$E$10+1,1))</f>
        <v>206.25389915739601</v>
      </c>
      <c r="AO24" s="59">
        <f t="shared" si="36"/>
        <v>155.24154927193064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18.532799999999998</v>
      </c>
      <c r="D25" s="11">
        <f t="shared" si="32"/>
        <v>6.0800166268835865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189.99367220752242</v>
      </c>
      <c r="H25" s="67">
        <f t="shared" si="1"/>
        <v>336.20065562515555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4.5104999999999995</v>
      </c>
      <c r="N25" s="13">
        <f>IF('Données projet'!$A$36&gt;35,N24+M25-V24,IF(A25&lt;'Données projet'!$A$36,$K$205^A25,IF(A25='Données projet'!$A$36,'Données projet'!$B$36,N24+M25-V24)))</f>
        <v>99.230999999999952</v>
      </c>
      <c r="O25" s="13">
        <f>N25*VLOOKUP('Données projet'!$B$9,Paramètres!$A$1:$I$89,3,0)*VLOOKUP('Données projet'!$B$9,Paramètres!$A$1:$I$89,5,0)</f>
        <v>89.784208799999945</v>
      </c>
      <c r="P25" s="13">
        <f t="shared" si="33"/>
        <v>24.513174083793608</v>
      </c>
      <c r="Q25" s="20">
        <f t="shared" si="2"/>
        <v>199.0679418559404</v>
      </c>
      <c r="R25" s="59">
        <f t="shared" si="0"/>
        <v>492.40127518927375</v>
      </c>
      <c r="S25" s="59">
        <f ca="1">AVERAGE(OFFSET($R$3,0,0,'Données projet'!$E$9+1,1))-AVERAGE(OFFSET($H$3,0,0,'Données projet'!$E$9+1,1))</f>
        <v>233.2883475283553</v>
      </c>
      <c r="T25" s="59">
        <f t="shared" si="34"/>
        <v>211.4485324078031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3.8113157894736847</v>
      </c>
      <c r="AI25" s="13">
        <f>IF('Données projet'!$A$62&gt;35,AI24+AH25-AQ24,IF(A25&lt;'Données projet'!$A$62,$AF$205^A25,IF(A25='Données projet'!$A$62,'Données projet'!$B$62,AI24+AH25-AQ24)))</f>
        <v>83.848947368421022</v>
      </c>
      <c r="AJ25" s="13">
        <f>AI25*VLOOKUP('Données projet'!$B$10,Paramètres!$A$1:$I$89,3,0)*VLOOKUP('Données projet'!$B$10,Paramètres!$A$1:$I$89,5,0)</f>
        <v>70.634353263157877</v>
      </c>
      <c r="AK25" s="13">
        <f t="shared" si="35"/>
        <v>19.83090703731613</v>
      </c>
      <c r="AL25" s="20">
        <f t="shared" si="4"/>
        <v>157.56032835665889</v>
      </c>
      <c r="AM25" s="59">
        <f t="shared" si="5"/>
        <v>450.8936616899922</v>
      </c>
      <c r="AN25" s="59">
        <f ca="1">AVERAGE(OFFSET($AM$3,0,0,'Données projet'!$E$10+1,1))-AVERAGE(OFFSET($H$3,0,0,'Données projet'!$E$10+1,1))</f>
        <v>206.25389915739601</v>
      </c>
      <c r="AO25" s="59">
        <f t="shared" si="36"/>
        <v>155.24154927193064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19.3752</v>
      </c>
      <c r="D26" s="11">
        <f t="shared" si="32"/>
        <v>6.3235768672184562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198.37652318554601</v>
      </c>
      <c r="H26" s="67">
        <f t="shared" si="1"/>
        <v>338.09203637707213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4.5104999999999995</v>
      </c>
      <c r="N26" s="13">
        <f>IF('Données projet'!$A$36&gt;35,N25+M26-V25,IF(A26&lt;'Données projet'!$A$36,$K$205^A26,IF(A26='Données projet'!$A$36,'Données projet'!$B$36,N25+M26-V25)))</f>
        <v>103.74149999999995</v>
      </c>
      <c r="O26" s="13">
        <f>N26*VLOOKUP('Données projet'!$B$9,Paramètres!$A$1:$I$89,3,0)*VLOOKUP('Données projet'!$B$9,Paramètres!$A$1:$I$89,5,0)</f>
        <v>93.865309199999956</v>
      </c>
      <c r="P26" s="13">
        <f t="shared" si="33"/>
        <v>25.495150768663198</v>
      </c>
      <c r="Q26" s="20">
        <f t="shared" si="2"/>
        <v>207.88613444542167</v>
      </c>
      <c r="R26" s="59">
        <f t="shared" si="0"/>
        <v>501.21946777875496</v>
      </c>
      <c r="S26" s="59">
        <f ca="1">AVERAGE(OFFSET($R$3,0,0,'Données projet'!$E$9+1,1))-AVERAGE(OFFSET($H$3,0,0,'Données projet'!$E$9+1,1))</f>
        <v>233.2883475283553</v>
      </c>
      <c r="T26" s="59">
        <f t="shared" si="34"/>
        <v>211.4485324078031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3.8113157894736847</v>
      </c>
      <c r="AI26" s="13">
        <f>IF('Données projet'!$A$62&gt;35,AI25+AH26-AQ25,IF(A26&lt;'Données projet'!$A$62,$AF$205^A26,IF(A26='Données projet'!$A$62,'Données projet'!$B$62,AI25+AH26-AQ25)))</f>
        <v>87.660263157894704</v>
      </c>
      <c r="AJ26" s="13">
        <f>AI26*VLOOKUP('Données projet'!$B$10,Paramètres!$A$1:$I$89,3,0)*VLOOKUP('Données projet'!$B$10,Paramètres!$A$1:$I$89,5,0)</f>
        <v>73.845005684210506</v>
      </c>
      <c r="AK26" s="13">
        <f t="shared" si="35"/>
        <v>20.625316128684492</v>
      </c>
      <c r="AL26" s="20">
        <f t="shared" si="4"/>
        <v>164.5358104907921</v>
      </c>
      <c r="AM26" s="59">
        <f t="shared" si="5"/>
        <v>457.86914382412544</v>
      </c>
      <c r="AN26" s="59">
        <f ca="1">AVERAGE(OFFSET($AM$3,0,0,'Données projet'!$E$10+1,1))-AVERAGE(OFFSET($H$3,0,0,'Données projet'!$E$10+1,1))</f>
        <v>206.25389915739601</v>
      </c>
      <c r="AO26" s="59">
        <f t="shared" si="36"/>
        <v>155.24154927193064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20.217600000000001</v>
      </c>
      <c r="D27" s="11">
        <f t="shared" si="32"/>
        <v>6.5659071855695155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206.74988002895768</v>
      </c>
      <c r="H27" s="67">
        <f t="shared" si="1"/>
        <v>339.98127501486687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4.5104999999999995</v>
      </c>
      <c r="N27" s="13">
        <f>IF('Données projet'!$A$36&gt;35,N26+M27-V26,IF(A27&lt;'Données projet'!$A$36,$K$205^A27,IF(A27='Données projet'!$A$36,'Données projet'!$B$36,N26+M27-V26)))</f>
        <v>108.25199999999994</v>
      </c>
      <c r="O27" s="13">
        <f>N27*VLOOKUP('Données projet'!$B$9,Paramètres!$A$1:$I$89,3,0)*VLOOKUP('Données projet'!$B$9,Paramètres!$A$1:$I$89,5,0)</f>
        <v>97.946409599999939</v>
      </c>
      <c r="P27" s="13">
        <f t="shared" si="33"/>
        <v>26.472168702011444</v>
      </c>
      <c r="Q27" s="20">
        <f t="shared" si="2"/>
        <v>216.69569054266981</v>
      </c>
      <c r="R27" s="59">
        <f t="shared" si="0"/>
        <v>510.02902387600312</v>
      </c>
      <c r="S27" s="59">
        <f ca="1">AVERAGE(OFFSET($R$3,0,0,'Données projet'!$E$9+1,1))-AVERAGE(OFFSET($H$3,0,0,'Données projet'!$E$9+1,1))</f>
        <v>233.2883475283553</v>
      </c>
      <c r="T27" s="59">
        <f t="shared" si="34"/>
        <v>211.4485324078031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3.8113157894736847</v>
      </c>
      <c r="AI27" s="13">
        <f>IF('Données projet'!$A$62&gt;35,AI26+AH27-AQ26,IF(A27&lt;'Données projet'!$A$62,$AF$205^A27,IF(A27='Données projet'!$A$62,'Données projet'!$B$62,AI26+AH27-AQ26)))</f>
        <v>91.471578947368386</v>
      </c>
      <c r="AJ27" s="13">
        <f>AI27*VLOOKUP('Données projet'!$B$10,Paramètres!$A$1:$I$89,3,0)*VLOOKUP('Données projet'!$B$10,Paramètres!$A$1:$I$89,5,0)</f>
        <v>77.055658105263134</v>
      </c>
      <c r="AK27" s="13">
        <f t="shared" si="35"/>
        <v>21.415713640805496</v>
      </c>
      <c r="AL27" s="20">
        <f t="shared" si="4"/>
        <v>171.50430579106953</v>
      </c>
      <c r="AM27" s="59">
        <f t="shared" si="5"/>
        <v>464.83763912440281</v>
      </c>
      <c r="AN27" s="59">
        <f ca="1">AVERAGE(OFFSET($AM$3,0,0,'Données projet'!$E$10+1,1))-AVERAGE(OFFSET($H$3,0,0,'Données projet'!$E$10+1,1))</f>
        <v>206.25389915739601</v>
      </c>
      <c r="AO27" s="59">
        <f t="shared" si="36"/>
        <v>155.24154927193064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21.060000000000002</v>
      </c>
      <c r="D28" s="11">
        <f t="shared" si="32"/>
        <v>6.8070646889944983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215.11418356416809</v>
      </c>
      <c r="H28" s="67">
        <f t="shared" si="1"/>
        <v>341.86847099999875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4.5104999999999995</v>
      </c>
      <c r="N28" s="13">
        <f>IF('Données projet'!$A$36&gt;35,N27+M28-V27,IF(A28&lt;'Données projet'!$A$36,$K$205^A28,IF(A28='Données projet'!$A$36,'Données projet'!$B$36,N27+M28-V27)))</f>
        <v>112.76249999999993</v>
      </c>
      <c r="O28" s="13">
        <f>N28*VLOOKUP('Données projet'!$B$9,Paramètres!$A$1:$I$89,3,0)*VLOOKUP('Données projet'!$B$9,Paramètres!$A$1:$I$89,5,0)</f>
        <v>102.02750999999994</v>
      </c>
      <c r="P28" s="13">
        <f t="shared" si="33"/>
        <v>27.444458125848058</v>
      </c>
      <c r="Q28" s="20">
        <f t="shared" si="2"/>
        <v>225.49701115251855</v>
      </c>
      <c r="R28" s="59">
        <f t="shared" si="0"/>
        <v>518.83034448585181</v>
      </c>
      <c r="S28" s="59">
        <f ca="1">AVERAGE(OFFSET($R$3,0,0,'Données projet'!$E$9+1,1))-AVERAGE(OFFSET($H$3,0,0,'Données projet'!$E$9+1,1))</f>
        <v>233.2883475283553</v>
      </c>
      <c r="T28" s="59">
        <f t="shared" si="34"/>
        <v>211.4485324078031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3.8113157894736847</v>
      </c>
      <c r="AI28" s="13">
        <f>IF('Données projet'!$A$62&gt;35,AI27+AH28-AQ27,IF(A28&lt;'Données projet'!$A$62,$AF$205^A28,IF(A28='Données projet'!$A$62,'Données projet'!$B$62,AI27+AH28-AQ27)))</f>
        <v>95.282894736842067</v>
      </c>
      <c r="AJ28" s="13">
        <f>AI28*VLOOKUP('Données projet'!$B$10,Paramètres!$A$1:$I$89,3,0)*VLOOKUP('Données projet'!$B$10,Paramètres!$A$1:$I$89,5,0)</f>
        <v>80.266310526315763</v>
      </c>
      <c r="AK28" s="13">
        <f t="shared" si="35"/>
        <v>22.202285837109411</v>
      </c>
      <c r="AL28" s="20">
        <f t="shared" si="4"/>
        <v>178.46613866629886</v>
      </c>
      <c r="AM28" s="59">
        <f t="shared" si="5"/>
        <v>471.79947199963215</v>
      </c>
      <c r="AN28" s="59">
        <f ca="1">AVERAGE(OFFSET($AM$3,0,0,'Données projet'!$E$10+1,1))-AVERAGE(OFFSET($H$3,0,0,'Données projet'!$E$10+1,1))</f>
        <v>206.25389915739601</v>
      </c>
      <c r="AO28" s="59">
        <f t="shared" si="36"/>
        <v>155.24154927193064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21.902400000000004</v>
      </c>
      <c r="D29" s="11">
        <f t="shared" si="32"/>
        <v>7.0471016573911687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223.46983735530031</v>
      </c>
      <c r="H29" s="67">
        <f t="shared" si="1"/>
        <v>343.75371538662296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4.5104999999999995</v>
      </c>
      <c r="N29" s="13">
        <f>IF('Données projet'!$A$36&gt;35,N28+M29-V28,IF(A29&lt;'Données projet'!$A$36,$K$205^A29,IF(A29='Données projet'!$A$36,'Données projet'!$B$36,N28+M29-V28)))</f>
        <v>117.27299999999993</v>
      </c>
      <c r="O29" s="13">
        <f>N29*VLOOKUP('Données projet'!$B$9,Paramètres!$A$1:$I$89,3,0)*VLOOKUP('Données projet'!$B$9,Paramètres!$A$1:$I$89,5,0)</f>
        <v>106.10861039999993</v>
      </c>
      <c r="P29" s="13">
        <f t="shared" si="33"/>
        <v>28.412229820227378</v>
      </c>
      <c r="Q29" s="20">
        <f t="shared" si="2"/>
        <v>234.29046338356258</v>
      </c>
      <c r="R29" s="59">
        <f t="shared" si="0"/>
        <v>527.62379671689587</v>
      </c>
      <c r="S29" s="59">
        <f ca="1">AVERAGE(OFFSET($R$3,0,0,'Données projet'!$E$9+1,1))-AVERAGE(OFFSET($H$3,0,0,'Données projet'!$E$9+1,1))</f>
        <v>233.2883475283553</v>
      </c>
      <c r="T29" s="59">
        <f t="shared" si="34"/>
        <v>211.4485324078031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3.8113157894736847</v>
      </c>
      <c r="AI29" s="13">
        <f>IF('Données projet'!$A$62&gt;35,AI28+AH29-AQ28,IF(A29&lt;'Données projet'!$A$62,$AF$205^A29,IF(A29='Données projet'!$A$62,'Données projet'!$B$62,AI28+AH29-AQ28)))</f>
        <v>99.094210526315749</v>
      </c>
      <c r="AJ29" s="13">
        <f>AI29*VLOOKUP('Données projet'!$B$10,Paramètres!$A$1:$I$89,3,0)*VLOOKUP('Données projet'!$B$10,Paramètres!$A$1:$I$89,5,0)</f>
        <v>83.476962947368392</v>
      </c>
      <c r="AK29" s="13">
        <f t="shared" si="35"/>
        <v>22.985203236503651</v>
      </c>
      <c r="AL29" s="20">
        <f t="shared" si="4"/>
        <v>185.42160610357715</v>
      </c>
      <c r="AM29" s="59">
        <f t="shared" si="5"/>
        <v>478.75493943691049</v>
      </c>
      <c r="AN29" s="59">
        <f ca="1">AVERAGE(OFFSET($AM$3,0,0,'Données projet'!$E$10+1,1))-AVERAGE(OFFSET($H$3,0,0,'Données projet'!$E$10+1,1))</f>
        <v>206.25389915739601</v>
      </c>
      <c r="AO29" s="59">
        <f t="shared" si="36"/>
        <v>155.24154927193064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22.744800000000005</v>
      </c>
      <c r="D30" s="11">
        <f t="shared" si="32"/>
        <v>7.2860661213823228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231.81721216505659</v>
      </c>
      <c r="H30" s="67">
        <f t="shared" si="1"/>
        <v>345.63709182807418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4.5104999999999995</v>
      </c>
      <c r="N30" s="13">
        <f>IF('Données projet'!$A$36&gt;35,N29+M30-V29,IF(A30&lt;'Données projet'!$A$36,$K$205^A30,IF(A30='Données projet'!$A$36,'Données projet'!$B$36,N29+M30-V29)))</f>
        <v>121.78349999999992</v>
      </c>
      <c r="O30" s="13">
        <f>N30*VLOOKUP('Données projet'!$B$9,Paramètres!$A$1:$I$89,3,0)*VLOOKUP('Données projet'!$B$9,Paramètres!$A$1:$I$89,5,0)</f>
        <v>110.18971079999993</v>
      </c>
      <c r="P30" s="13">
        <f t="shared" si="33"/>
        <v>29.375677433142553</v>
      </c>
      <c r="Q30" s="20">
        <f t="shared" si="2"/>
        <v>243.07638450605646</v>
      </c>
      <c r="R30" s="59">
        <f t="shared" si="0"/>
        <v>536.40971783938971</v>
      </c>
      <c r="S30" s="59">
        <f ca="1">AVERAGE(OFFSET($R$3,0,0,'Données projet'!$E$9+1,1))-AVERAGE(OFFSET($H$3,0,0,'Données projet'!$E$9+1,1))</f>
        <v>233.2883475283553</v>
      </c>
      <c r="T30" s="59">
        <f t="shared" si="34"/>
        <v>211.4485324078031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3.8113157894736847</v>
      </c>
      <c r="AI30" s="13">
        <f>IF('Données projet'!$A$62&gt;35,AI29+AH30-AQ29,IF(A30&lt;'Données projet'!$A$62,$AF$205^A30,IF(A30='Données projet'!$A$62,'Données projet'!$B$62,AI29+AH30-AQ29)))</f>
        <v>102.90552631578943</v>
      </c>
      <c r="AJ30" s="13">
        <f>AI30*VLOOKUP('Données projet'!$B$10,Paramètres!$A$1:$I$89,3,0)*VLOOKUP('Données projet'!$B$10,Paramètres!$A$1:$I$89,5,0)</f>
        <v>86.687615368421021</v>
      </c>
      <c r="AK30" s="13">
        <f t="shared" si="35"/>
        <v>23.764622498233482</v>
      </c>
      <c r="AL30" s="20">
        <f t="shared" si="4"/>
        <v>192.3709809510899</v>
      </c>
      <c r="AM30" s="59">
        <f t="shared" si="5"/>
        <v>485.70431428442322</v>
      </c>
      <c r="AN30" s="59">
        <f ca="1">AVERAGE(OFFSET($AM$3,0,0,'Données projet'!$E$10+1,1))-AVERAGE(OFFSET($H$3,0,0,'Données projet'!$E$10+1,1))</f>
        <v>206.25389915739601</v>
      </c>
      <c r="AO30" s="59">
        <f t="shared" si="36"/>
        <v>155.24154927193064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23.587200000000006</v>
      </c>
      <c r="D31" s="11">
        <f t="shared" si="32"/>
        <v>7.5240023521815003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240.15664973613798</v>
      </c>
      <c r="H31" s="67">
        <f t="shared" si="1"/>
        <v>347.51867743004942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4.5104999999999995</v>
      </c>
      <c r="N31" s="13">
        <f>IF('Données projet'!$A$36&gt;35,N30+M31-V30,IF(A31&lt;'Données projet'!$A$36,$K$205^A31,IF(A31='Données projet'!$A$36,'Données projet'!$B$36,N30+M31-V30)))</f>
        <v>126.29399999999991</v>
      </c>
      <c r="O31" s="13">
        <f>N31*VLOOKUP('Données projet'!$B$9,Paramètres!$A$1:$I$89,3,0)*VLOOKUP('Données projet'!$B$9,Paramètres!$A$1:$I$89,5,0)</f>
        <v>114.27081119999991</v>
      </c>
      <c r="P31" s="13">
        <f t="shared" si="33"/>
        <v>30.334979455546968</v>
      </c>
      <c r="Q31" s="20">
        <f t="shared" si="2"/>
        <v>251.8550853917441</v>
      </c>
      <c r="R31" s="59">
        <f t="shared" si="0"/>
        <v>545.18841872507744</v>
      </c>
      <c r="S31" s="59">
        <f ca="1">AVERAGE(OFFSET($R$3,0,0,'Données projet'!$E$9+1,1))-AVERAGE(OFFSET($H$3,0,0,'Données projet'!$E$9+1,1))</f>
        <v>233.2883475283553</v>
      </c>
      <c r="T31" s="59">
        <f t="shared" si="34"/>
        <v>211.4485324078031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3.8113157894736847</v>
      </c>
      <c r="AI31" s="13">
        <f>IF('Données projet'!$A$62&gt;35,AI30+AH31-AQ30,IF(A31&lt;'Données projet'!$A$62,$AF$205^A31,IF(A31='Données projet'!$A$62,'Données projet'!$B$62,AI30+AH31-AQ30)))</f>
        <v>106.71684210526311</v>
      </c>
      <c r="AJ31" s="13">
        <f>AI31*VLOOKUP('Données projet'!$B$10,Paramètres!$A$1:$I$89,3,0)*VLOOKUP('Données projet'!$B$10,Paramètres!$A$1:$I$89,5,0)</f>
        <v>89.89826778947365</v>
      </c>
      <c r="AK31" s="13">
        <f t="shared" si="35"/>
        <v>24.540688019654006</v>
      </c>
      <c r="AL31" s="20">
        <f t="shared" si="4"/>
        <v>199.31451470089735</v>
      </c>
      <c r="AM31" s="59">
        <f t="shared" si="5"/>
        <v>492.64784803423066</v>
      </c>
      <c r="AN31" s="59">
        <f ca="1">AVERAGE(OFFSET($AM$3,0,0,'Données projet'!$E$10+1,1))-AVERAGE(OFFSET($H$3,0,0,'Données projet'!$E$10+1,1))</f>
        <v>206.25389915739601</v>
      </c>
      <c r="AO31" s="59">
        <f t="shared" si="36"/>
        <v>155.24154927193064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24.429600000000008</v>
      </c>
      <c r="D32" s="11">
        <f t="shared" si="32"/>
        <v>7.7609512795113185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248.48846601728039</v>
      </c>
      <c r="H32" s="67">
        <f t="shared" si="1"/>
        <v>349.39854347848222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4.5104999999999995</v>
      </c>
      <c r="N32" s="13">
        <f>IF('Données projet'!$A$36&gt;35,N31+M32-V31,IF(A32&lt;'Données projet'!$A$36,$K$205^A32,IF(A32='Données projet'!$A$36,'Données projet'!$B$36,N31+M32-V31)))</f>
        <v>130.8044999999999</v>
      </c>
      <c r="O32" s="13">
        <f>N32*VLOOKUP('Données projet'!$B$9,Paramètres!$A$1:$I$89,3,0)*VLOOKUP('Données projet'!$B$9,Paramètres!$A$1:$I$89,5,0)</f>
        <v>118.35191159999991</v>
      </c>
      <c r="P32" s="13">
        <f t="shared" si="33"/>
        <v>31.290300906301152</v>
      </c>
      <c r="Q32" s="20">
        <f t="shared" si="2"/>
        <v>260.62685344847432</v>
      </c>
      <c r="R32" s="59">
        <f t="shared" si="0"/>
        <v>553.96018678180758</v>
      </c>
      <c r="S32" s="59">
        <f ca="1">AVERAGE(OFFSET($R$3,0,0,'Données projet'!$E$9+1,1))-AVERAGE(OFFSET($H$3,0,0,'Données projet'!$E$9+1,1))</f>
        <v>233.2883475283553</v>
      </c>
      <c r="T32" s="59">
        <f t="shared" si="34"/>
        <v>211.4485324078031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3.8113157894736847</v>
      </c>
      <c r="AI32" s="13">
        <f>IF('Données projet'!$A$62&gt;35,AI31+AH32-AQ31,IF(A32&lt;'Données projet'!$A$62,$AF$205^A32,IF(A32='Données projet'!$A$62,'Données projet'!$B$62,AI31+AH32-AQ31)))</f>
        <v>110.52815789473679</v>
      </c>
      <c r="AJ32" s="13">
        <f>AI32*VLOOKUP('Données projet'!$B$10,Paramètres!$A$1:$I$89,3,0)*VLOOKUP('Données projet'!$B$10,Paramètres!$A$1:$I$89,5,0)</f>
        <v>93.108920210526293</v>
      </c>
      <c r="AK32" s="13">
        <f t="shared" si="35"/>
        <v>25.313533299335088</v>
      </c>
      <c r="AL32" s="20">
        <f t="shared" si="4"/>
        <v>206.25243986300856</v>
      </c>
      <c r="AM32" s="59">
        <f t="shared" si="5"/>
        <v>499.58577319634185</v>
      </c>
      <c r="AN32" s="59">
        <f ca="1">AVERAGE(OFFSET($AM$3,0,0,'Données projet'!$E$10+1,1))-AVERAGE(OFFSET($H$3,0,0,'Données projet'!$E$10+1,1))</f>
        <v>206.25389915739601</v>
      </c>
      <c r="AO32" s="59">
        <f t="shared" si="36"/>
        <v>155.24154927193064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25.272000000000009</v>
      </c>
      <c r="D33" s="11">
        <f t="shared" si="32"/>
        <v>7.9969508502584166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256.81295393181944</v>
      </c>
      <c r="H33" s="67">
        <f t="shared" si="1"/>
        <v>351.27675606420007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4.5104999999999995</v>
      </c>
      <c r="N33" s="13">
        <f>IF('Données projet'!$A$36&gt;35,N32+M33-V32,IF(A33&lt;'Données projet'!$A$36,$K$205^A33,IF(A33='Données projet'!$A$36,'Données projet'!$B$36,N32+M33-V32)))</f>
        <v>135.31499999999991</v>
      </c>
      <c r="O33" s="13">
        <f>N33*VLOOKUP('Données projet'!$B$9,Paramètres!$A$1:$I$89,3,0)*VLOOKUP('Données projet'!$B$9,Paramètres!$A$1:$I$89,5,0)</f>
        <v>122.43301199999991</v>
      </c>
      <c r="P33" s="13">
        <f t="shared" si="33"/>
        <v>32.24179477818376</v>
      </c>
      <c r="Q33" s="20">
        <f t="shared" si="2"/>
        <v>269.39195513866986</v>
      </c>
      <c r="R33" s="59">
        <f t="shared" si="0"/>
        <v>562.72528847200317</v>
      </c>
      <c r="S33" s="59">
        <f ca="1">AVERAGE(OFFSET($R$3,0,0,'Données projet'!$E$9+1,1))-AVERAGE(OFFSET($H$3,0,0,'Données projet'!$E$9+1,1))</f>
        <v>233.2883475283553</v>
      </c>
      <c r="T33" s="59">
        <f t="shared" si="34"/>
        <v>211.4485324078031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3.8113157894736847</v>
      </c>
      <c r="AI33" s="13">
        <f>IF('Données projet'!$A$62&gt;35,AI32+AH33-AQ32,IF(A33&lt;'Données projet'!$A$62,$AF$205^A33,IF(A33='Données projet'!$A$62,'Données projet'!$B$62,AI32+AH33-AQ32)))</f>
        <v>114.33947368421047</v>
      </c>
      <c r="AJ33" s="13">
        <f>AI33*VLOOKUP('Données projet'!$B$10,Paramètres!$A$1:$I$89,3,0)*VLOOKUP('Données projet'!$B$10,Paramètres!$A$1:$I$89,5,0)</f>
        <v>96.319572631578922</v>
      </c>
      <c r="AK33" s="13">
        <f t="shared" si="35"/>
        <v>26.083282106869351</v>
      </c>
      <c r="AL33" s="20">
        <f t="shared" si="4"/>
        <v>213.18497200279739</v>
      </c>
      <c r="AM33" s="59">
        <f t="shared" si="5"/>
        <v>506.51830533613071</v>
      </c>
      <c r="AN33" s="59">
        <f ca="1">AVERAGE(OFFSET($AM$3,0,0,'Données projet'!$E$10+1,1))-AVERAGE(OFFSET($H$3,0,0,'Données projet'!$E$10+1,1))</f>
        <v>206.25389915739601</v>
      </c>
      <c r="AO33" s="59">
        <f t="shared" si="36"/>
        <v>155.24154927193064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26.11440000000001</v>
      </c>
      <c r="D34" s="11">
        <f t="shared" si="32"/>
        <v>8.232036337964395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265.13038576674279</v>
      </c>
      <c r="H34" s="67">
        <f t="shared" si="1"/>
        <v>353.15337662195464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4.5104999999999995</v>
      </c>
      <c r="N34" s="13">
        <f>IF('Données projet'!$A$36&gt;35,N33+M34-V33,IF(A34&lt;'Données projet'!$A$36,$K$205^A34,IF(A34='Données projet'!$A$36,'Données projet'!$B$36,N33+M34-V33)))</f>
        <v>139.82549999999992</v>
      </c>
      <c r="O34" s="13">
        <f>N34*VLOOKUP('Données projet'!$B$9,Paramètres!$A$1:$I$89,3,0)*VLOOKUP('Données projet'!$B$9,Paramètres!$A$1:$I$89,5,0)</f>
        <v>126.51411239999993</v>
      </c>
      <c r="P34" s="13">
        <f t="shared" si="33"/>
        <v>33.189603285685187</v>
      </c>
      <c r="Q34" s="20">
        <f t="shared" si="2"/>
        <v>278.15063815256826</v>
      </c>
      <c r="R34" s="59">
        <f t="shared" si="0"/>
        <v>571.48397148590152</v>
      </c>
      <c r="S34" s="59">
        <f ca="1">AVERAGE(OFFSET($R$3,0,0,'Données projet'!$E$9+1,1))-AVERAGE(OFFSET($H$3,0,0,'Données projet'!$E$9+1,1))</f>
        <v>233.2883475283553</v>
      </c>
      <c r="T34" s="59">
        <f t="shared" si="34"/>
        <v>211.4485324078031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3.8113157894736847</v>
      </c>
      <c r="AI34" s="13">
        <f>IF('Données projet'!$A$62&gt;35,AI33+AH34-AQ33,IF(A34&lt;'Données projet'!$A$62,$AF$205^A34,IF(A34='Données projet'!$A$62,'Données projet'!$B$62,AI33+AH34-AQ33)))</f>
        <v>118.15078947368416</v>
      </c>
      <c r="AJ34" s="13">
        <f>AI34*VLOOKUP('Données projet'!$B$10,Paramètres!$A$1:$I$89,3,0)*VLOOKUP('Données projet'!$B$10,Paramètres!$A$1:$I$89,5,0)</f>
        <v>99.53022505263155</v>
      </c>
      <c r="AK34" s="13">
        <f t="shared" si="35"/>
        <v>26.850049492324516</v>
      </c>
      <c r="AL34" s="20">
        <f t="shared" si="4"/>
        <v>220.11231149913181</v>
      </c>
      <c r="AM34" s="59">
        <f t="shared" si="5"/>
        <v>513.44564483246518</v>
      </c>
      <c r="AN34" s="59">
        <f ca="1">AVERAGE(OFFSET($AM$3,0,0,'Données projet'!$E$10+1,1))-AVERAGE(OFFSET($H$3,0,0,'Données projet'!$E$10+1,1))</f>
        <v>206.25389915739601</v>
      </c>
      <c r="AO34" s="59">
        <f t="shared" si="36"/>
        <v>155.24154927193064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26.956800000000012</v>
      </c>
      <c r="D35" s="11">
        <f t="shared" si="32"/>
        <v>8.4662406112606785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273.44101524481937</v>
      </c>
      <c r="H35" s="67">
        <f t="shared" si="1"/>
        <v>355.02846239794565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4.5104999999999995</v>
      </c>
      <c r="N35" s="13">
        <f>IF('Données projet'!$A$36&gt;35,N34+M35-V34,IF(A35&lt;'Données projet'!$A$36,$K$205^A35,IF(A35='Données projet'!$A$36,'Données projet'!$B$36,N34+M35-V34)))</f>
        <v>144.33599999999993</v>
      </c>
      <c r="O35" s="13">
        <f>N35*VLOOKUP('Données projet'!$B$9,Paramètres!$A$1:$I$89,3,0)*VLOOKUP('Données projet'!$B$9,Paramètres!$A$1:$I$89,5,0)</f>
        <v>130.59521279999993</v>
      </c>
      <c r="P35" s="13">
        <f t="shared" si="33"/>
        <v>34.133858947272564</v>
      </c>
      <c r="Q35" s="20">
        <f t="shared" ref="Q35:Q66" si="53">(O35+P35)*0.475*44/12</f>
        <v>286.90313329316626</v>
      </c>
      <c r="R35" s="59">
        <f t="shared" si="0"/>
        <v>580.23646662649958</v>
      </c>
      <c r="S35" s="59">
        <f ca="1">AVERAGE(OFFSET($R$3,0,0,'Données projet'!$E$9+1,1))-AVERAGE(OFFSET($H$3,0,0,'Données projet'!$E$9+1,1))</f>
        <v>233.2883475283553</v>
      </c>
      <c r="T35" s="59">
        <f t="shared" si="34"/>
        <v>211.4485324078031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3.8113157894736847</v>
      </c>
      <c r="AI35" s="13">
        <f>IF('Données projet'!$A$62&gt;35,AI34+AH35-AQ34,IF(A35&lt;'Données projet'!$A$62,$AF$205^A35,IF(A35='Données projet'!$A$62,'Données projet'!$B$62,AI34+AH35-AQ34)))</f>
        <v>121.96210526315784</v>
      </c>
      <c r="AJ35" s="13">
        <f>AI35*VLOOKUP('Données projet'!$B$10,Paramètres!$A$1:$I$89,3,0)*VLOOKUP('Données projet'!$B$10,Paramètres!$A$1:$I$89,5,0)</f>
        <v>102.74087747368418</v>
      </c>
      <c r="AK35" s="13">
        <f t="shared" si="35"/>
        <v>27.613942661784687</v>
      </c>
      <c r="AL35" s="20">
        <f t="shared" si="4"/>
        <v>227.03464506927492</v>
      </c>
      <c r="AM35" s="59">
        <f t="shared" si="5"/>
        <v>520.36797840260829</v>
      </c>
      <c r="AN35" s="59">
        <f ca="1">AVERAGE(OFFSET($AM$3,0,0,'Données projet'!$E$10+1,1))-AVERAGE(OFFSET($H$3,0,0,'Données projet'!$E$10+1,1))</f>
        <v>206.25389915739601</v>
      </c>
      <c r="AO35" s="59">
        <f t="shared" si="36"/>
        <v>155.24154927193064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27.799200000000013</v>
      </c>
      <c r="D36" s="11">
        <f t="shared" si="32"/>
        <v>8.6995943678063394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281.74507933043503</v>
      </c>
      <c r="H36" s="67">
        <f t="shared" si="1"/>
        <v>356.9020668572627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4.5104999999999995</v>
      </c>
      <c r="N36" s="13">
        <f>IF('Données projet'!$A$36&gt;35,N35+M36-V35,IF(A36&lt;'Données projet'!$A$36,$K$205^A36,IF(A36='Données projet'!$A$36,'Données projet'!$B$36,N35+M36-V35)))</f>
        <v>148.84649999999993</v>
      </c>
      <c r="O36" s="13">
        <f>N36*VLOOKUP('Données projet'!$B$9,Paramètres!$A$1:$I$89,3,0)*VLOOKUP('Données projet'!$B$9,Paramètres!$A$1:$I$89,5,0)</f>
        <v>134.67631319999992</v>
      </c>
      <c r="P36" s="13">
        <f t="shared" si="33"/>
        <v>35.074685528571372</v>
      </c>
      <c r="Q36" s="20">
        <f t="shared" si="53"/>
        <v>295.64965611892836</v>
      </c>
      <c r="R36" s="59">
        <f t="shared" si="0"/>
        <v>588.98298945226168</v>
      </c>
      <c r="S36" s="59">
        <f ca="1">AVERAGE(OFFSET($R$3,0,0,'Données projet'!$E$9+1,1))-AVERAGE(OFFSET($H$3,0,0,'Données projet'!$E$9+1,1))</f>
        <v>233.2883475283553</v>
      </c>
      <c r="T36" s="59">
        <f t="shared" si="34"/>
        <v>211.4485324078031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3.8113157894736847</v>
      </c>
      <c r="AI36" s="13">
        <f>IF('Données projet'!$A$62&gt;35,AI35+AH36-AQ35,IF(A36&lt;'Données projet'!$A$62,$AF$205^A36,IF(A36='Données projet'!$A$62,'Données projet'!$B$62,AI35+AH36-AQ35)))</f>
        <v>125.77342105263152</v>
      </c>
      <c r="AJ36" s="13">
        <f>AI36*VLOOKUP('Données projet'!$B$10,Paramètres!$A$1:$I$89,3,0)*VLOOKUP('Données projet'!$B$10,Paramètres!$A$1:$I$89,5,0)</f>
        <v>105.95152989473681</v>
      </c>
      <c r="AK36" s="13">
        <f t="shared" si="35"/>
        <v>28.375061740374683</v>
      </c>
      <c r="AL36" s="20">
        <f t="shared" si="4"/>
        <v>233.95214709781916</v>
      </c>
      <c r="AM36" s="59">
        <f t="shared" si="5"/>
        <v>527.28548043115245</v>
      </c>
      <c r="AN36" s="59">
        <f ca="1">AVERAGE(OFFSET($AM$3,0,0,'Données projet'!$E$10+1,1))-AVERAGE(OFFSET($H$3,0,0,'Données projet'!$E$10+1,1))</f>
        <v>206.25389915739601</v>
      </c>
      <c r="AO36" s="59">
        <f t="shared" si="36"/>
        <v>155.24154927193064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28.641600000000015</v>
      </c>
      <c r="D37" s="11">
        <f t="shared" si="32"/>
        <v>8.9321263390731787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290.04279981038957</v>
      </c>
      <c r="H37" s="67">
        <f t="shared" si="1"/>
        <v>358.77424004055246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4.5104999999999995</v>
      </c>
      <c r="N37" s="13">
        <f>IF('Données projet'!$A$36&gt;35,N36+M37-V36,IF(A37&lt;'Données projet'!$A$36,$K$205^A37,IF(A37='Données projet'!$A$36,'Données projet'!$B$36,N36+M37-V36)))</f>
        <v>153.35699999999994</v>
      </c>
      <c r="O37" s="13">
        <f>N37*VLOOKUP('Données projet'!$B$9,Paramètres!$A$1:$I$89,3,0)*VLOOKUP('Données projet'!$B$9,Paramètres!$A$1:$I$89,5,0)</f>
        <v>138.75741359999995</v>
      </c>
      <c r="P37" s="13">
        <f t="shared" si="33"/>
        <v>36.012198868009968</v>
      </c>
      <c r="Q37" s="20">
        <f t="shared" si="53"/>
        <v>304.39040838178391</v>
      </c>
      <c r="R37" s="59">
        <f t="shared" si="0"/>
        <v>597.72374171511728</v>
      </c>
      <c r="S37" s="59">
        <f ca="1">AVERAGE(OFFSET($R$3,0,0,'Données projet'!$E$9+1,1))-AVERAGE(OFFSET($H$3,0,0,'Données projet'!$E$9+1,1))</f>
        <v>233.2883475283553</v>
      </c>
      <c r="T37" s="59">
        <f t="shared" si="34"/>
        <v>211.4485324078031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3.8113157894736847</v>
      </c>
      <c r="AI37" s="13">
        <f>IF('Données projet'!$A$62&gt;35,AI36+AH37-AQ36,IF(A37&lt;'Données projet'!$A$62,$AF$205^A37,IF(A37='Données projet'!$A$62,'Données projet'!$B$62,AI36+AH37-AQ36)))</f>
        <v>129.5847368421052</v>
      </c>
      <c r="AJ37" s="13">
        <f>AI37*VLOOKUP('Données projet'!$B$10,Paramètres!$A$1:$I$89,3,0)*VLOOKUP('Données projet'!$B$10,Paramètres!$A$1:$I$89,5,0)</f>
        <v>109.16218231578944</v>
      </c>
      <c r="AK37" s="13">
        <f t="shared" si="35"/>
        <v>29.133500440197817</v>
      </c>
      <c r="AL37" s="20">
        <f t="shared" si="4"/>
        <v>240.86498080001115</v>
      </c>
      <c r="AM37" s="59">
        <f t="shared" si="5"/>
        <v>534.19831413334441</v>
      </c>
      <c r="AN37" s="59">
        <f ca="1">AVERAGE(OFFSET($AM$3,0,0,'Données projet'!$E$10+1,1))-AVERAGE(OFFSET($H$3,0,0,'Données projet'!$E$10+1,1))</f>
        <v>206.25389915739601</v>
      </c>
      <c r="AO37" s="59">
        <f t="shared" si="36"/>
        <v>155.24154927193064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29.484000000000016</v>
      </c>
      <c r="D38" s="11">
        <f t="shared" si="32"/>
        <v>9.1638634703614414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298.33438468349198</v>
      </c>
      <c r="H38" s="67">
        <f t="shared" si="1"/>
        <v>360.64502887754617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4.5104999999999995</v>
      </c>
      <c r="N38" s="13">
        <f>IF('Données projet'!$A$36&gt;35,N37+M38-V37,IF(A38&lt;'Données projet'!$A$36,$K$205^A38,IF(A38='Données projet'!$A$36,'Données projet'!$B$36,N37+M38-V37)))</f>
        <v>157.86749999999995</v>
      </c>
      <c r="O38" s="13">
        <f>N38*VLOOKUP('Données projet'!$B$9,Paramètres!$A$1:$I$89,3,0)*VLOOKUP('Données projet'!$B$9,Paramètres!$A$1:$I$89,5,0)</f>
        <v>142.83851399999995</v>
      </c>
      <c r="P38" s="13">
        <f t="shared" si="33"/>
        <v>36.946507602599695</v>
      </c>
      <c r="Q38" s="20">
        <f t="shared" si="53"/>
        <v>313.12557929119436</v>
      </c>
      <c r="R38" s="59">
        <f t="shared" si="0"/>
        <v>606.45891262452767</v>
      </c>
      <c r="S38" s="59">
        <f ca="1">AVERAGE(OFFSET($R$3,0,0,'Données projet'!$E$9+1,1))-AVERAGE(OFFSET($H$3,0,0,'Données projet'!$E$9+1,1))</f>
        <v>233.2883475283553</v>
      </c>
      <c r="T38" s="59">
        <f t="shared" si="34"/>
        <v>211.4485324078031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3.8113157894736847</v>
      </c>
      <c r="AI38" s="13">
        <f>IF('Données projet'!$A$62&gt;35,AI37+AH38-AQ37,IF(A38&lt;'Données projet'!$A$62,$AF$205^A38,IF(A38='Données projet'!$A$62,'Données projet'!$B$62,AI37+AH38-AQ37)))</f>
        <v>133.3960526315789</v>
      </c>
      <c r="AJ38" s="13">
        <f>AI38*VLOOKUP('Données projet'!$B$10,Paramètres!$A$1:$I$89,3,0)*VLOOKUP('Données projet'!$B$10,Paramètres!$A$1:$I$89,5,0)</f>
        <v>112.37283473684207</v>
      </c>
      <c r="AK38" s="13">
        <f t="shared" si="35"/>
        <v>29.889346647484818</v>
      </c>
      <c r="AL38" s="20">
        <f t="shared" si="4"/>
        <v>247.77329924436927</v>
      </c>
      <c r="AM38" s="59">
        <f t="shared" si="5"/>
        <v>541.10663257770261</v>
      </c>
      <c r="AN38" s="59">
        <f ca="1">AVERAGE(OFFSET($AM$3,0,0,'Données projet'!$E$10+1,1))-AVERAGE(OFFSET($H$3,0,0,'Données projet'!$E$10+1,1))</f>
        <v>206.25389915739601</v>
      </c>
      <c r="AO38" s="59">
        <f t="shared" si="36"/>
        <v>155.24154927193064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30.326400000000017</v>
      </c>
      <c r="D39" s="11">
        <f t="shared" si="32"/>
        <v>9.3948310796639891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306.62002938688005</v>
      </c>
      <c r="H39" s="67">
        <f t="shared" si="1"/>
        <v>362.51447746374811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4.5104999999999995</v>
      </c>
      <c r="N39" s="13">
        <f>IF('Données projet'!$A$36&gt;35,N38+M39-V38,IF(A39&lt;'Données projet'!$A$36,$K$205^A39,IF(A39='Données projet'!$A$36,'Données projet'!$B$36,N38+M39-V38)))</f>
        <v>162.37799999999996</v>
      </c>
      <c r="O39" s="13">
        <f>N39*VLOOKUP('Données projet'!$B$9,Paramètres!$A$1:$I$89,3,0)*VLOOKUP('Données projet'!$B$9,Paramètres!$A$1:$I$89,5,0)</f>
        <v>146.91961439999994</v>
      </c>
      <c r="P39" s="13">
        <f t="shared" si="33"/>
        <v>37.877713808437491</v>
      </c>
      <c r="Q39" s="20">
        <f t="shared" si="53"/>
        <v>321.85534662969513</v>
      </c>
      <c r="R39" s="59">
        <f t="shared" si="0"/>
        <v>615.18867996302845</v>
      </c>
      <c r="S39" s="59">
        <f ca="1">AVERAGE(OFFSET($R$3,0,0,'Données projet'!$E$9+1,1))-AVERAGE(OFFSET($H$3,0,0,'Données projet'!$E$9+1,1))</f>
        <v>233.2883475283553</v>
      </c>
      <c r="T39" s="59">
        <f t="shared" si="34"/>
        <v>211.4485324078031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3.8113157894736847</v>
      </c>
      <c r="AI39" s="13">
        <f>IF('Données projet'!$A$62&gt;35,AI38+AH39-AQ38,IF(A39&lt;'Données projet'!$A$62,$AF$205^A39,IF(A39='Données projet'!$A$62,'Données projet'!$B$62,AI38+AH39-AQ38)))</f>
        <v>137.20736842105259</v>
      </c>
      <c r="AJ39" s="13">
        <f>AI39*VLOOKUP('Données projet'!$B$10,Paramètres!$A$1:$I$89,3,0)*VLOOKUP('Données projet'!$B$10,Paramètres!$A$1:$I$89,5,0)</f>
        <v>115.58348715789471</v>
      </c>
      <c r="AK39" s="13">
        <f t="shared" si="35"/>
        <v>30.642682940753755</v>
      </c>
      <c r="AL39" s="20">
        <f t="shared" si="4"/>
        <v>254.677246255146</v>
      </c>
      <c r="AM39" s="59">
        <f t="shared" si="5"/>
        <v>548.01057958847935</v>
      </c>
      <c r="AN39" s="59">
        <f ca="1">AVERAGE(OFFSET($AM$3,0,0,'Données projet'!$E$10+1,1))-AVERAGE(OFFSET($H$3,0,0,'Données projet'!$E$10+1,1))</f>
        <v>206.25389915739601</v>
      </c>
      <c r="AO39" s="59">
        <f t="shared" si="36"/>
        <v>155.24154927193064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31.168800000000019</v>
      </c>
      <c r="D40" s="11">
        <f t="shared" si="32"/>
        <v>9.6250529983827224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314.89991788225274</v>
      </c>
      <c r="H40" s="67">
        <f t="shared" si="1"/>
        <v>364.38262730551656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4.5104999999999995</v>
      </c>
      <c r="N40" s="13">
        <f>IF('Données projet'!$A$36&gt;35,N39+M40-V39,IF(A40&lt;'Données projet'!$A$36,$K$205^A40,IF(A40='Données projet'!$A$36,'Données projet'!$B$36,N39+M40-V39)))</f>
        <v>166.88849999999996</v>
      </c>
      <c r="O40" s="13">
        <f>N40*VLOOKUP('Données projet'!$B$9,Paramètres!$A$1:$I$89,3,0)*VLOOKUP('Données projet'!$B$9,Paramètres!$A$1:$I$89,5,0)</f>
        <v>151.00071479999997</v>
      </c>
      <c r="P40" s="13">
        <f t="shared" si="33"/>
        <v>38.805913568040772</v>
      </c>
      <c r="Q40" s="20">
        <f t="shared" si="53"/>
        <v>330.57987774100428</v>
      </c>
      <c r="R40" s="59">
        <f t="shared" si="0"/>
        <v>623.9132110743376</v>
      </c>
      <c r="S40" s="59">
        <f ca="1">AVERAGE(OFFSET($R$3,0,0,'Données projet'!$E$9+1,1))-AVERAGE(OFFSET($H$3,0,0,'Données projet'!$E$9+1,1))</f>
        <v>233.2883475283553</v>
      </c>
      <c r="T40" s="59">
        <f t="shared" si="34"/>
        <v>211.4485324078031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3.8113157894736847</v>
      </c>
      <c r="AI40" s="13">
        <f>IF('Données projet'!$A$62&gt;35,AI39+AH40-AQ39,IF(A40&lt;'Données projet'!$A$62,$AF$205^A40,IF(A40='Données projet'!$A$62,'Données projet'!$B$62,AI39+AH40-AQ39)))</f>
        <v>141.01868421052629</v>
      </c>
      <c r="AJ40" s="13">
        <f>AI40*VLOOKUP('Données projet'!$B$10,Paramètres!$A$1:$I$89,3,0)*VLOOKUP('Données projet'!$B$10,Paramètres!$A$1:$I$89,5,0)</f>
        <v>118.79413957894737</v>
      </c>
      <c r="AK40" s="13">
        <f t="shared" si="35"/>
        <v>31.393587049778187</v>
      </c>
      <c r="AL40" s="20">
        <f t="shared" si="4"/>
        <v>261.57695721169699</v>
      </c>
      <c r="AM40" s="59">
        <f t="shared" si="5"/>
        <v>554.91029054503031</v>
      </c>
      <c r="AN40" s="59">
        <f ca="1">AVERAGE(OFFSET($AM$3,0,0,'Données projet'!$E$10+1,1))-AVERAGE(OFFSET($H$3,0,0,'Données projet'!$E$10+1,1))</f>
        <v>206.25389915739601</v>
      </c>
      <c r="AO40" s="59">
        <f t="shared" si="36"/>
        <v>155.24154927193064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32.011200000000017</v>
      </c>
      <c r="D41" s="11">
        <f t="shared" si="32"/>
        <v>9.8545516964045827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323.17422362136887</v>
      </c>
      <c r="H41" s="67">
        <f t="shared" si="1"/>
        <v>366.24951753790464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4.5104999999999995</v>
      </c>
      <c r="N41" s="13">
        <f>IF('Données projet'!$A$36&gt;35,N40+M41-V40,IF(A41&lt;'Données projet'!$A$36,$K$205^A41,IF(A41='Données projet'!$A$36,'Données projet'!$B$36,N40+M41-V40)))</f>
        <v>171.39899999999997</v>
      </c>
      <c r="O41" s="13">
        <f>N41*VLOOKUP('Données projet'!$B$9,Paramètres!$A$1:$I$89,3,0)*VLOOKUP('Données projet'!$B$9,Paramètres!$A$1:$I$89,5,0)</f>
        <v>155.08181519999997</v>
      </c>
      <c r="P41" s="13">
        <f t="shared" si="33"/>
        <v>39.731197474624004</v>
      </c>
      <c r="Q41" s="20">
        <f t="shared" si="53"/>
        <v>339.29933040830338</v>
      </c>
      <c r="R41" s="59">
        <f t="shared" si="0"/>
        <v>632.63266374163663</v>
      </c>
      <c r="S41" s="59">
        <f ca="1">AVERAGE(OFFSET($R$3,0,0,'Données projet'!$E$9+1,1))-AVERAGE(OFFSET($H$3,0,0,'Données projet'!$E$9+1,1))</f>
        <v>233.2883475283553</v>
      </c>
      <c r="T41" s="59">
        <f t="shared" si="34"/>
        <v>211.4485324078031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>
        <f>VLOOKUP(A41,'Données projet'!$A$61:$I$81,2,0)</f>
        <v>144.83000000000001</v>
      </c>
      <c r="AG41" s="12">
        <f>VLOOKUP(A41,'Données projet'!$A$61:$I$81,9,0)</f>
        <v>3.8113157894736847</v>
      </c>
      <c r="AH41" s="12">
        <f t="array" ref="AH41">INDEX(AG:AG,MIN(IF(ISNUMBER(AG41:AG237),ROW(AG41:AG237),"")))</f>
        <v>3.8113157894736847</v>
      </c>
      <c r="AI41" s="13">
        <f>IF('Données projet'!$A$62&gt;35,AI40+AH41-AQ40,IF(A41&lt;'Données projet'!$A$62,$AF$205^A41,IF(A41='Données projet'!$A$62,'Données projet'!$B$62,AI40+AH41-AQ40)))</f>
        <v>144.82999999999998</v>
      </c>
      <c r="AJ41" s="13">
        <f>AI41*VLOOKUP('Données projet'!$B$10,Paramètres!$A$1:$I$89,3,0)*VLOOKUP('Données projet'!$B$10,Paramètres!$A$1:$I$89,5,0)</f>
        <v>122.00479199999999</v>
      </c>
      <c r="AK41" s="13">
        <f t="shared" si="35"/>
        <v>32.142132263541754</v>
      </c>
      <c r="AL41" s="20">
        <f t="shared" si="4"/>
        <v>268.47255975900185</v>
      </c>
      <c r="AM41" s="59">
        <f t="shared" si="5"/>
        <v>561.80589309233517</v>
      </c>
      <c r="AN41" s="59">
        <f ca="1">AVERAGE(OFFSET($AM$3,0,0,'Données projet'!$E$10+1,1))-AVERAGE(OFFSET($H$3,0,0,'Données projet'!$E$10+1,1))</f>
        <v>206.25389915739601</v>
      </c>
      <c r="AO41" s="59">
        <f t="shared" si="36"/>
        <v>155.24154927193064</v>
      </c>
      <c r="AP41" s="15">
        <f>IF(ISNA(VLOOKUP(A41,'Données projet'!$A$61:$I$81,3,0)),0,VLOOKUP(A41,'Données projet'!$A$61:$I$81,3,0))</f>
        <v>1</v>
      </c>
      <c r="AQ41" s="15">
        <f>IF(ISNA(VLOOKUP(A41,'Données projet'!$A$61:$I$81,4,0)),0,VLOOKUP(A41,'Données projet'!$A$61:$I$81,4,0))</f>
        <v>69.08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32.853600000000014</v>
      </c>
      <c r="D42" s="11">
        <f t="shared" si="32"/>
        <v>10.083348393641282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331.4431104070556</v>
      </c>
      <c r="H42" s="67">
        <f t="shared" si="1"/>
        <v>368.11518511892524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4.5104999999999995</v>
      </c>
      <c r="N42" s="13">
        <f>IF('Données projet'!$A$36&gt;35,N41+M42-V41,IF(A42&lt;'Données projet'!$A$36,$K$205^A42,IF(A42='Données projet'!$A$36,'Données projet'!$B$36,N41+M42-V41)))</f>
        <v>175.90949999999998</v>
      </c>
      <c r="O42" s="13">
        <f>N42*VLOOKUP('Données projet'!$B$9,Paramètres!$A$1:$I$89,3,0)*VLOOKUP('Données projet'!$B$9,Paramètres!$A$1:$I$89,5,0)</f>
        <v>159.16291559999996</v>
      </c>
      <c r="P42" s="13">
        <f t="shared" si="33"/>
        <v>40.65365108180027</v>
      </c>
      <c r="Q42" s="20">
        <f t="shared" si="53"/>
        <v>348.01385363746869</v>
      </c>
      <c r="R42" s="59">
        <f t="shared" si="0"/>
        <v>641.347186970802</v>
      </c>
      <c r="S42" s="59">
        <f ca="1">AVERAGE(OFFSET($R$3,0,0,'Données projet'!$E$9+1,1))-AVERAGE(OFFSET($H$3,0,0,'Données projet'!$E$9+1,1))</f>
        <v>233.2883475283553</v>
      </c>
      <c r="T42" s="59">
        <f t="shared" si="34"/>
        <v>211.4485324078031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8.9585714285714282</v>
      </c>
      <c r="AI42" s="13">
        <f>IF('Données projet'!$A$62&gt;35,AI41+AH42-AQ41,IF(A42&lt;'Données projet'!$A$62,$AF$205^A42,IF(A42='Données projet'!$A$62,'Données projet'!$B$62,AI41+AH42-AQ41)))</f>
        <v>84.708571428571403</v>
      </c>
      <c r="AJ42" s="13">
        <f>AI42*VLOOKUP('Données projet'!$B$10,Paramètres!$A$1:$I$89,3,0)*VLOOKUP('Données projet'!$B$10,Paramètres!$A$1:$I$89,5,0)</f>
        <v>71.358500571428564</v>
      </c>
      <c r="AK42" s="13">
        <f t="shared" si="35"/>
        <v>20.010442816020877</v>
      </c>
      <c r="AL42" s="20">
        <f t="shared" si="4"/>
        <v>159.13424306647443</v>
      </c>
      <c r="AM42" s="59">
        <f t="shared" si="5"/>
        <v>452.46757639980774</v>
      </c>
      <c r="AN42" s="59">
        <f ca="1">AVERAGE(OFFSET($AM$3,0,0,'Données projet'!$E$10+1,1))-AVERAGE(OFFSET($H$3,0,0,'Données projet'!$E$10+1,1))</f>
        <v>206.25389915739601</v>
      </c>
      <c r="AO42" s="59">
        <f t="shared" si="36"/>
        <v>155.24154927193064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33.696000000000012</v>
      </c>
      <c r="D43" s="11">
        <f t="shared" si="32"/>
        <v>10.311463159807191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339.70673316342402</v>
      </c>
      <c r="H43" s="67">
        <f t="shared" si="1"/>
        <v>369.97966500333087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180.42</v>
      </c>
      <c r="L43" s="12">
        <f>VLOOKUP(A43,'Données projet'!$A$35:$I$55,9,0)</f>
        <v>4.5104999999999995</v>
      </c>
      <c r="M43" s="12">
        <f t="array" ref="M43">INDEX(L:L,MIN(IF(ISNUMBER(L43:L239),ROW(L43:L239),"")))</f>
        <v>4.5104999999999995</v>
      </c>
      <c r="N43" s="13">
        <f>IF('Données projet'!$A$36&gt;35,N42+M43-V42,IF(A43&lt;'Données projet'!$A$36,$K$205^A43,IF(A43='Données projet'!$A$36,'Données projet'!$B$36,N42+M43-V42)))</f>
        <v>180.42</v>
      </c>
      <c r="O43" s="13">
        <f>N43*VLOOKUP('Données projet'!$B$9,Paramètres!$A$1:$I$89,3,0)*VLOOKUP('Données projet'!$B$9,Paramètres!$A$1:$I$89,5,0)</f>
        <v>163.24401599999999</v>
      </c>
      <c r="P43" s="13">
        <f t="shared" si="33"/>
        <v>41.573355305861703</v>
      </c>
      <c r="Q43" s="20">
        <f t="shared" si="53"/>
        <v>356.7235883577091</v>
      </c>
      <c r="R43" s="59">
        <f t="shared" si="0"/>
        <v>650.05692169104236</v>
      </c>
      <c r="S43" s="59">
        <f ca="1">AVERAGE(OFFSET($R$3,0,0,'Données projet'!$E$9+1,1))-AVERAGE(OFFSET($H$3,0,0,'Données projet'!$E$9+1,1))</f>
        <v>233.2883475283553</v>
      </c>
      <c r="T43" s="59">
        <f t="shared" si="34"/>
        <v>211.4485324078031</v>
      </c>
      <c r="U43" s="15">
        <f>IF(ISNA(VLOOKUP(A43,'Données projet'!$A$35:$I$55,3,0)),0,VLOOKUP(A43,'Données projet'!$A$35:$I$55,3,0))</f>
        <v>1</v>
      </c>
      <c r="V43" s="15">
        <f>IF(ISNA(VLOOKUP(A43,'Données projet'!$A$35:$I$55,4,0)),0,VLOOKUP(A43,'Données projet'!$A$35:$I$55,4,0))</f>
        <v>84.13</v>
      </c>
      <c r="W43" s="16">
        <f>IF(ISNA(VLOOKUP(A43,'Données projet'!$A$35:$I$55,5,0)),0%,VLOOKUP(A43,'Données projet'!$A$35:$I$55,5,0)*VLOOKUP('Données projet'!$B$9,Paramètres!$A$1:$I$89,7,0))</f>
        <v>0.129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10.855261789495676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10.855261789495676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8.9585714285714282</v>
      </c>
      <c r="AI43" s="13">
        <f>IF('Données projet'!$A$62&gt;35,AI42+AH43-AQ42,IF(A43&lt;'Données projet'!$A$62,$AF$205^A43,IF(A43='Données projet'!$A$62,'Données projet'!$B$62,AI42+AH43-AQ42)))</f>
        <v>93.667142857142835</v>
      </c>
      <c r="AJ43" s="13">
        <f>AI43*VLOOKUP('Données projet'!$B$10,Paramètres!$A$1:$I$89,3,0)*VLOOKUP('Données projet'!$B$10,Paramètres!$A$1:$I$89,5,0)</f>
        <v>78.905201142857138</v>
      </c>
      <c r="AK43" s="13">
        <f t="shared" si="35"/>
        <v>21.869285821611935</v>
      </c>
      <c r="AL43" s="20">
        <f t="shared" si="4"/>
        <v>175.51556479645032</v>
      </c>
      <c r="AM43" s="59">
        <f t="shared" si="5"/>
        <v>468.84889812978361</v>
      </c>
      <c r="AN43" s="59">
        <f ca="1">AVERAGE(OFFSET($AM$3,0,0,'Données projet'!$E$10+1,1))-AVERAGE(OFFSET($H$3,0,0,'Données projet'!$E$10+1,1))</f>
        <v>206.25389915739601</v>
      </c>
      <c r="AO43" s="59">
        <f t="shared" si="36"/>
        <v>155.24154927193064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34.53840000000001</v>
      </c>
      <c r="D44" s="11">
        <f t="shared" si="32"/>
        <v>10.538915003938563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347.96523862689429</v>
      </c>
      <c r="H44" s="67">
        <f t="shared" si="1"/>
        <v>371.84299029852633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8.7714285714285722</v>
      </c>
      <c r="N44" s="13">
        <f>IF('Données projet'!$A$36&gt;35,N43+M44-V43,IF(A44&lt;'Données projet'!$A$36,$K$205^A44,IF(A44='Données projet'!$A$36,'Données projet'!$B$36,N43+M44-V43)))</f>
        <v>105.06142857142856</v>
      </c>
      <c r="O44" s="13">
        <f>N44*VLOOKUP('Données projet'!$B$9,Paramètres!$A$1:$I$89,3,0)*VLOOKUP('Données projet'!$B$9,Paramètres!$A$1:$I$89,5,0)</f>
        <v>95.059580571428569</v>
      </c>
      <c r="P44" s="13">
        <f t="shared" si="33"/>
        <v>25.781562630782403</v>
      </c>
      <c r="Q44" s="20">
        <f t="shared" si="53"/>
        <v>210.4649910771841</v>
      </c>
      <c r="R44" s="59">
        <f t="shared" si="0"/>
        <v>503.79832441051741</v>
      </c>
      <c r="S44" s="59">
        <f ca="1">AVERAGE(OFFSET($R$3,0,0,'Données projet'!$E$9+1,1))-AVERAGE(OFFSET($H$3,0,0,'Données projet'!$E$9+1,1))</f>
        <v>233.2883475283553</v>
      </c>
      <c r="T44" s="59">
        <f t="shared" si="34"/>
        <v>211.4485324078031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10.642396726859582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10.642396726859582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8.9585714285714282</v>
      </c>
      <c r="AI44" s="13">
        <f>IF('Données projet'!$A$62&gt;35,AI43+AH44-AQ43,IF(A44&lt;'Données projet'!$A$62,$AF$205^A44,IF(A44='Données projet'!$A$62,'Données projet'!$B$62,AI43+AH44-AQ43)))</f>
        <v>102.62571428571427</v>
      </c>
      <c r="AJ44" s="13">
        <f>AI44*VLOOKUP('Données projet'!$B$10,Paramètres!$A$1:$I$89,3,0)*VLOOKUP('Données projet'!$B$10,Paramètres!$A$1:$I$89,5,0)</f>
        <v>86.451901714285711</v>
      </c>
      <c r="AK44" s="13">
        <f t="shared" si="35"/>
        <v>23.707516319057149</v>
      </c>
      <c r="AL44" s="20">
        <f t="shared" si="4"/>
        <v>191.86098640807214</v>
      </c>
      <c r="AM44" s="59">
        <f t="shared" si="5"/>
        <v>485.19431974140548</v>
      </c>
      <c r="AN44" s="59">
        <f ca="1">AVERAGE(OFFSET($AM$3,0,0,'Données projet'!$E$10+1,1))-AVERAGE(OFFSET($H$3,0,0,'Données projet'!$E$10+1,1))</f>
        <v>206.25389915739601</v>
      </c>
      <c r="AO44" s="59">
        <f t="shared" si="36"/>
        <v>155.24154927193064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35.380800000000008</v>
      </c>
      <c r="D45" s="11">
        <f t="shared" si="32"/>
        <v>10.765721954933246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356.21876596790588</v>
      </c>
      <c r="H45" s="67">
        <f t="shared" si="1"/>
        <v>373.70519240484208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8.7714285714285722</v>
      </c>
      <c r="N45" s="13">
        <f>IF('Données projet'!$A$36&gt;35,N44+M45-V44,IF(A45&lt;'Données projet'!$A$36,$K$205^A45,IF(A45='Données projet'!$A$36,'Données projet'!$B$36,N44+M45-V44)))</f>
        <v>113.83285714285714</v>
      </c>
      <c r="O45" s="13">
        <f>N45*VLOOKUP('Données projet'!$B$9,Paramètres!$A$1:$I$89,3,0)*VLOOKUP('Données projet'!$B$9,Paramètres!$A$1:$I$89,5,0)</f>
        <v>102.99596914285715</v>
      </c>
      <c r="P45" s="13">
        <f t="shared" si="33"/>
        <v>27.674515012409035</v>
      </c>
      <c r="Q45" s="20">
        <f t="shared" si="53"/>
        <v>227.58442657042193</v>
      </c>
      <c r="R45" s="59">
        <f t="shared" si="0"/>
        <v>520.91775990375527</v>
      </c>
      <c r="S45" s="59">
        <f ca="1">AVERAGE(OFFSET($R$3,0,0,'Données projet'!$E$9+1,1))-AVERAGE(OFFSET($H$3,0,0,'Données projet'!$E$9+1,1))</f>
        <v>233.2883475283553</v>
      </c>
      <c r="T45" s="59">
        <f t="shared" si="34"/>
        <v>211.4485324078031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10.433705818266914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10.433705818266914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8.9585714285714282</v>
      </c>
      <c r="AI45" s="13">
        <f>IF('Données projet'!$A$62&gt;35,AI44+AH45-AQ44,IF(A45&lt;'Données projet'!$A$62,$AF$205^A45,IF(A45='Données projet'!$A$62,'Données projet'!$B$62,AI44+AH45-AQ44)))</f>
        <v>111.5842857142857</v>
      </c>
      <c r="AJ45" s="13">
        <f>AI45*VLOOKUP('Données projet'!$B$10,Paramètres!$A$1:$I$89,3,0)*VLOOKUP('Données projet'!$B$10,Paramètres!$A$1:$I$89,5,0)</f>
        <v>93.998602285714284</v>
      </c>
      <c r="AK45" s="13">
        <f t="shared" si="35"/>
        <v>25.527138240982005</v>
      </c>
      <c r="AL45" s="20">
        <f t="shared" si="4"/>
        <v>208.17399808399605</v>
      </c>
      <c r="AM45" s="59">
        <f t="shared" si="5"/>
        <v>501.5073314173294</v>
      </c>
      <c r="AN45" s="59">
        <f ca="1">AVERAGE(OFFSET($AM$3,0,0,'Données projet'!$E$10+1,1))-AVERAGE(OFFSET($H$3,0,0,'Données projet'!$E$10+1,1))</f>
        <v>206.25389915739601</v>
      </c>
      <c r="AO45" s="59">
        <f t="shared" si="36"/>
        <v>155.24154927193064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36.223200000000006</v>
      </c>
      <c r="D46" s="11">
        <f t="shared" si="32"/>
        <v>10.991901134203907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364.46744735174957</v>
      </c>
      <c r="H46" s="67">
        <f t="shared" si="1"/>
        <v>375.56630114207178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8.7714285714285722</v>
      </c>
      <c r="N46" s="13">
        <f>IF('Données projet'!$A$36&gt;35,N45+M46-V45,IF(A46&lt;'Données projet'!$A$36,$K$205^A46,IF(A46='Données projet'!$A$36,'Données projet'!$B$36,N45+M46-V45)))</f>
        <v>122.60428571428571</v>
      </c>
      <c r="O46" s="13">
        <f>N46*VLOOKUP('Données projet'!$B$9,Paramètres!$A$1:$I$89,3,0)*VLOOKUP('Données projet'!$B$9,Paramètres!$A$1:$I$89,5,0)</f>
        <v>110.9323577142857</v>
      </c>
      <c r="P46" s="13">
        <f t="shared" si="33"/>
        <v>29.550547298424668</v>
      </c>
      <c r="Q46" s="20">
        <f t="shared" si="53"/>
        <v>244.67439289713727</v>
      </c>
      <c r="R46" s="59">
        <f t="shared" si="0"/>
        <v>538.00772623047055</v>
      </c>
      <c r="S46" s="59">
        <f ca="1">AVERAGE(OFFSET($R$3,0,0,'Données projet'!$E$9+1,1))-AVERAGE(OFFSET($H$3,0,0,'Données projet'!$E$9+1,1))</f>
        <v>233.2883475283553</v>
      </c>
      <c r="T46" s="59">
        <f t="shared" si="34"/>
        <v>211.4485324078031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10.229107211102862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10.229107211102862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8.9585714285714282</v>
      </c>
      <c r="AI46" s="13">
        <f>IF('Données projet'!$A$62&gt;35,AI45+AH46-AQ45,IF(A46&lt;'Données projet'!$A$62,$AF$205^A46,IF(A46='Données projet'!$A$62,'Données projet'!$B$62,AI45+AH46-AQ45)))</f>
        <v>120.54285714285713</v>
      </c>
      <c r="AJ46" s="13">
        <f>AI46*VLOOKUP('Données projet'!$B$10,Paramètres!$A$1:$I$89,3,0)*VLOOKUP('Données projet'!$B$10,Paramètres!$A$1:$I$89,5,0)</f>
        <v>101.54530285714286</v>
      </c>
      <c r="AK46" s="13">
        <f t="shared" si="35"/>
        <v>27.329815434376485</v>
      </c>
      <c r="AL46" s="20">
        <f t="shared" si="4"/>
        <v>224.45749769106285</v>
      </c>
      <c r="AM46" s="59">
        <f t="shared" si="5"/>
        <v>517.7908310243962</v>
      </c>
      <c r="AN46" s="59">
        <f ca="1">AVERAGE(OFFSET($AM$3,0,0,'Données projet'!$E$10+1,1))-AVERAGE(OFFSET($H$3,0,0,'Données projet'!$E$10+1,1))</f>
        <v>206.25389915739601</v>
      </c>
      <c r="AO46" s="59">
        <f t="shared" si="36"/>
        <v>155.24154927193064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37.065600000000003</v>
      </c>
      <c r="D47" s="11">
        <f t="shared" si="32"/>
        <v>11.217468821382386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372.71140844575876</v>
      </c>
      <c r="H47" s="67">
        <f t="shared" si="1"/>
        <v>377.42634486390762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8.7714285714285722</v>
      </c>
      <c r="N47" s="13">
        <f>IF('Données projet'!$A$36&gt;35,N46+M47-V46,IF(A47&lt;'Données projet'!$A$36,$K$205^A47,IF(A47='Données projet'!$A$36,'Données projet'!$B$36,N46+M47-V46)))</f>
        <v>131.37571428571428</v>
      </c>
      <c r="O47" s="13">
        <f>N47*VLOOKUP('Données projet'!$B$9,Paramètres!$A$1:$I$89,3,0)*VLOOKUP('Données projet'!$B$9,Paramètres!$A$1:$I$89,5,0)</f>
        <v>118.86874628571428</v>
      </c>
      <c r="P47" s="13">
        <f t="shared" si="33"/>
        <v>31.411007670743846</v>
      </c>
      <c r="Q47" s="20">
        <f t="shared" si="53"/>
        <v>261.73723814083121</v>
      </c>
      <c r="R47" s="59">
        <f t="shared" si="0"/>
        <v>555.07057147416458</v>
      </c>
      <c r="S47" s="59">
        <f ca="1">AVERAGE(OFFSET($R$3,0,0,'Données projet'!$E$9+1,1))-AVERAGE(OFFSET($H$3,0,0,'Données projet'!$E$9+1,1))</f>
        <v>233.2883475283553</v>
      </c>
      <c r="T47" s="59">
        <f t="shared" si="34"/>
        <v>211.4485324078031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10.02852065783247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10.02852065783247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8.9585714285714282</v>
      </c>
      <c r="AI47" s="13">
        <f>IF('Données projet'!$A$62&gt;35,AI46+AH47-AQ46,IF(A47&lt;'Données projet'!$A$62,$AF$205^A47,IF(A47='Données projet'!$A$62,'Données projet'!$B$62,AI46+AH47-AQ46)))</f>
        <v>129.50142857142856</v>
      </c>
      <c r="AJ47" s="13">
        <f>AI47*VLOOKUP('Données projet'!$B$10,Paramètres!$A$1:$I$89,3,0)*VLOOKUP('Données projet'!$B$10,Paramètres!$A$1:$I$89,5,0)</f>
        <v>109.09200342857145</v>
      </c>
      <c r="AK47" s="13">
        <f t="shared" si="35"/>
        <v>29.116950405918221</v>
      </c>
      <c r="AL47" s="20">
        <f t="shared" si="4"/>
        <v>240.7139279284028</v>
      </c>
      <c r="AM47" s="59">
        <f t="shared" si="5"/>
        <v>534.04726126173614</v>
      </c>
      <c r="AN47" s="59">
        <f ca="1">AVERAGE(OFFSET($AM$3,0,0,'Données projet'!$E$10+1,1))-AVERAGE(OFFSET($H$3,0,0,'Données projet'!$E$10+1,1))</f>
        <v>206.25389915739601</v>
      </c>
      <c r="AO47" s="59">
        <f t="shared" si="36"/>
        <v>155.24154927193064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37.908000000000001</v>
      </c>
      <c r="D48" s="11">
        <f t="shared" si="32"/>
        <v>11.442440513882531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380.95076887909323</v>
      </c>
      <c r="H48" s="67">
        <f t="shared" si="1"/>
        <v>379.28535056167874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8.7714285714285722</v>
      </c>
      <c r="N48" s="13">
        <f>IF('Données projet'!$A$36&gt;35,N47+M48-V47,IF(A48&lt;'Données projet'!$A$36,$K$205^A48,IF(A48='Données projet'!$A$36,'Données projet'!$B$36,N47+M48-V47)))</f>
        <v>140.14714285714285</v>
      </c>
      <c r="O48" s="13">
        <f>N48*VLOOKUP('Données projet'!$B$9,Paramètres!$A$1:$I$89,3,0)*VLOOKUP('Données projet'!$B$9,Paramètres!$A$1:$I$89,5,0)</f>
        <v>126.80513485714285</v>
      </c>
      <c r="P48" s="13">
        <f t="shared" si="33"/>
        <v>33.25705410075232</v>
      </c>
      <c r="Q48" s="20">
        <f t="shared" si="53"/>
        <v>278.77497910166738</v>
      </c>
      <c r="R48" s="59">
        <f t="shared" si="0"/>
        <v>572.1083124350007</v>
      </c>
      <c r="S48" s="59">
        <f ca="1">AVERAGE(OFFSET($R$3,0,0,'Données projet'!$E$9+1,1))-AVERAGE(OFFSET($H$3,0,0,'Données projet'!$E$9+1,1))</f>
        <v>233.2883475283553</v>
      </c>
      <c r="T48" s="59">
        <f t="shared" si="34"/>
        <v>211.4485324078031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9.8318674845259935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9.8318674845259935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138.46</v>
      </c>
      <c r="AG48" s="12">
        <f>VLOOKUP(A48,'Données projet'!$A$61:$I$81,9,0)</f>
        <v>8.9585714285714282</v>
      </c>
      <c r="AH48" s="12">
        <f t="array" ref="AH48">INDEX(AG:AG,MIN(IF(ISNUMBER(AG48:AG244),ROW(AG48:AG244),"")))</f>
        <v>8.9585714285714282</v>
      </c>
      <c r="AI48" s="13">
        <f>IF('Données projet'!$A$62&gt;35,AI47+AH48-AQ47,IF(A48&lt;'Données projet'!$A$62,$AF$205^A48,IF(A48='Données projet'!$A$62,'Données projet'!$B$62,AI47+AH48-AQ47)))</f>
        <v>138.45999999999998</v>
      </c>
      <c r="AJ48" s="13">
        <f>AI48*VLOOKUP('Données projet'!$B$10,Paramètres!$A$1:$I$89,3,0)*VLOOKUP('Données projet'!$B$10,Paramètres!$A$1:$I$89,5,0)</f>
        <v>116.638704</v>
      </c>
      <c r="AK48" s="13">
        <f t="shared" si="35"/>
        <v>30.889740632339958</v>
      </c>
      <c r="AL48" s="20">
        <f t="shared" si="4"/>
        <v>256.94537440132541</v>
      </c>
      <c r="AM48" s="59">
        <f t="shared" si="5"/>
        <v>550.27870773465872</v>
      </c>
      <c r="AN48" s="59">
        <f ca="1">AVERAGE(OFFSET($AM$3,0,0,'Données projet'!$E$10+1,1))-AVERAGE(OFFSET($H$3,0,0,'Données projet'!$E$10+1,1))</f>
        <v>206.25389915739601</v>
      </c>
      <c r="AO48" s="59">
        <f t="shared" si="36"/>
        <v>155.24154927193064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39.119999999999997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4.6995256571467445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4.6995256571467445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38.750399999999999</v>
      </c>
      <c r="D49" s="11">
        <f t="shared" si="32"/>
        <v>11.666830981019302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389.18564266049992</v>
      </c>
      <c r="H49" s="67">
        <f t="shared" si="1"/>
        <v>381.14334395860857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8.7714285714285722</v>
      </c>
      <c r="N49" s="13">
        <f>IF('Données projet'!$A$36&gt;35,N48+M49-V48,IF(A49&lt;'Données projet'!$A$36,$K$205^A49,IF(A49='Données projet'!$A$36,'Données projet'!$B$36,N48+M49-V48)))</f>
        <v>148.91857142857143</v>
      </c>
      <c r="O49" s="13">
        <f>N49*VLOOKUP('Données projet'!$B$9,Paramètres!$A$1:$I$89,3,0)*VLOOKUP('Données projet'!$B$9,Paramètres!$A$1:$I$89,5,0)</f>
        <v>134.74152342857144</v>
      </c>
      <c r="P49" s="13">
        <f t="shared" si="33"/>
        <v>35.089691418624611</v>
      </c>
      <c r="Q49" s="20">
        <f t="shared" si="53"/>
        <v>295.78936585886646</v>
      </c>
      <c r="R49" s="59">
        <f t="shared" si="0"/>
        <v>589.12269919219978</v>
      </c>
      <c r="S49" s="59">
        <f ca="1">AVERAGE(OFFSET($R$3,0,0,'Données projet'!$E$9+1,1))-AVERAGE(OFFSET($H$3,0,0,'Données projet'!$E$9+1,1))</f>
        <v>233.2883475283553</v>
      </c>
      <c r="T49" s="59">
        <f t="shared" si="34"/>
        <v>211.4485324078031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9.6390705600014641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9.6390705600014641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8.9771428571428569</v>
      </c>
      <c r="AI49" s="13">
        <f>IF('Données projet'!$A$62&gt;35,AI48+AH49-AQ48,IF(A49&lt;'Données projet'!$A$62,$AF$205^A49,IF(A49='Données projet'!$A$62,'Données projet'!$B$62,AI48+AH49-AQ48)))</f>
        <v>108.31714285714284</v>
      </c>
      <c r="AJ49" s="13">
        <f>AI49*VLOOKUP('Données projet'!$B$10,Paramètres!$A$1:$I$89,3,0)*VLOOKUP('Données projet'!$B$10,Paramètres!$A$1:$I$89,5,0)</f>
        <v>91.24636114285714</v>
      </c>
      <c r="AK49" s="13">
        <f t="shared" si="35"/>
        <v>24.865576257283283</v>
      </c>
      <c r="AL49" s="20">
        <f t="shared" si="4"/>
        <v>202.22829097191121</v>
      </c>
      <c r="AM49" s="59">
        <f t="shared" si="5"/>
        <v>495.56162430524455</v>
      </c>
      <c r="AN49" s="59">
        <f ca="1">AVERAGE(OFFSET($AM$3,0,0,'Données projet'!$E$10+1,1))-AVERAGE(OFFSET($H$3,0,0,'Données projet'!$E$10+1,1))</f>
        <v>206.25389915739601</v>
      </c>
      <c r="AO49" s="59">
        <f t="shared" si="36"/>
        <v>155.24154927193064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4.6073708254377115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4.6073708254377115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39.592799999999997</v>
      </c>
      <c r="D50" s="11">
        <f t="shared" si="32"/>
        <v>11.890654313289097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397.41613855872288</v>
      </c>
      <c r="H50" s="67">
        <f t="shared" si="1"/>
        <v>383.00034959564516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>
        <f>VLOOKUP(A50,'Données projet'!$A$35:$I$55,2,0)</f>
        <v>157.69</v>
      </c>
      <c r="L50" s="12">
        <f>VLOOKUP(A50,'Données projet'!$A$35:$I$55,9,0)</f>
        <v>8.7714285714285722</v>
      </c>
      <c r="M50" s="12">
        <f t="array" ref="M50">INDEX(L:L,MIN(IF(ISNUMBER(L50:L246),ROW(L50:L246),"")))</f>
        <v>8.7714285714285722</v>
      </c>
      <c r="N50" s="13">
        <f>IF('Données projet'!$A$36&gt;35,N49+M50-V49,IF(A50&lt;'Données projet'!$A$36,$K$205^A50,IF(A50='Données projet'!$A$36,'Données projet'!$B$36,N49+M50-V49)))</f>
        <v>157.69</v>
      </c>
      <c r="O50" s="13">
        <f>N50*VLOOKUP('Données projet'!$B$9,Paramètres!$A$1:$I$89,3,0)*VLOOKUP('Données projet'!$B$9,Paramètres!$A$1:$I$89,5,0)</f>
        <v>142.67791199999999</v>
      </c>
      <c r="P50" s="13">
        <f t="shared" si="33"/>
        <v>36.909799396959336</v>
      </c>
      <c r="Q50" s="20">
        <f t="shared" si="53"/>
        <v>312.78193068303744</v>
      </c>
      <c r="R50" s="59">
        <f t="shared" si="0"/>
        <v>606.1152640163707</v>
      </c>
      <c r="S50" s="59">
        <f ca="1">AVERAGE(OFFSET($R$3,0,0,'Données projet'!$E$9+1,1))-AVERAGE(OFFSET($H$3,0,0,'Données projet'!$E$9+1,1))</f>
        <v>233.2883475283553</v>
      </c>
      <c r="T50" s="59">
        <f t="shared" si="34"/>
        <v>211.4485324078031</v>
      </c>
      <c r="U50" s="15">
        <f>IF(ISNA(VLOOKUP(A50,'Données projet'!$A$35:$I$55,3,0)),0,VLOOKUP(A50,'Données projet'!$A$35:$I$55,3,0))</f>
        <v>2</v>
      </c>
      <c r="V50" s="15">
        <f>IF(ISNA(VLOOKUP(A50,'Données projet'!$A$35:$I$55,4,0)),0,VLOOKUP(A50,'Données projet'!$A$35:$I$55,4,0))</f>
        <v>43</v>
      </c>
      <c r="W50" s="16">
        <f>IF(ISNA(VLOOKUP(A50,'Données projet'!$A$35:$I$55,5,0)),0%,VLOOKUP(A50,'Données projet'!$A$35:$I$55,5,0)*VLOOKUP('Données projet'!$B$9,Paramètres!$A$1:$I$89,7,0))</f>
        <v>0.129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14.998327853451988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14.998327853451988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8.9771428571428569</v>
      </c>
      <c r="AI50" s="13">
        <f>IF('Données projet'!$A$62&gt;35,AI49+AH50-AQ49,IF(A50&lt;'Données projet'!$A$62,$AF$205^A50,IF(A50='Données projet'!$A$62,'Données projet'!$B$62,AI49+AH50-AQ49)))</f>
        <v>117.29428571428569</v>
      </c>
      <c r="AJ50" s="13">
        <f>AI50*VLOOKUP('Données projet'!$B$10,Paramètres!$A$1:$I$89,3,0)*VLOOKUP('Données projet'!$B$10,Paramètres!$A$1:$I$89,5,0)</f>
        <v>98.80870628571428</v>
      </c>
      <c r="AK50" s="13">
        <f t="shared" si="35"/>
        <v>26.677990596244378</v>
      </c>
      <c r="AL50" s="20">
        <f t="shared" si="4"/>
        <v>218.55599706941132</v>
      </c>
      <c r="AM50" s="59">
        <f t="shared" si="5"/>
        <v>511.88933040274463</v>
      </c>
      <c r="AN50" s="59">
        <f ca="1">AVERAGE(OFFSET($AM$3,0,0,'Données projet'!$E$10+1,1))-AVERAGE(OFFSET($H$3,0,0,'Données projet'!$E$10+1,1))</f>
        <v>206.25389915739601</v>
      </c>
      <c r="AO50" s="59">
        <f t="shared" si="36"/>
        <v>155.24154927193064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4.5170230937695957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4.5170230937695957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40.435199999999995</v>
      </c>
      <c r="D51" s="11">
        <f t="shared" si="32"/>
        <v>12.113923967337671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405.64236044962405</v>
      </c>
      <c r="H51" s="67">
        <f t="shared" si="1"/>
        <v>384.85639090977975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8.4224999999999994</v>
      </c>
      <c r="N51" s="13">
        <f>IF('Données projet'!$A$36&gt;35,N50+M51-V50,IF(A51&lt;'Données projet'!$A$36,$K$205^A51,IF(A51='Données projet'!$A$36,'Données projet'!$B$36,N50+M51-V50)))</f>
        <v>123.11250000000001</v>
      </c>
      <c r="O51" s="13">
        <f>N51*VLOOKUP('Données projet'!$B$9,Paramètres!$A$1:$I$89,3,0)*VLOOKUP('Données projet'!$B$9,Paramètres!$A$1:$I$89,5,0)</f>
        <v>111.39219</v>
      </c>
      <c r="P51" s="13">
        <f t="shared" si="33"/>
        <v>29.658754914468911</v>
      </c>
      <c r="Q51" s="20">
        <f t="shared" si="53"/>
        <v>245.66372905936669</v>
      </c>
      <c r="R51" s="59">
        <f t="shared" si="0"/>
        <v>538.99706239269995</v>
      </c>
      <c r="S51" s="59">
        <f ca="1">AVERAGE(OFFSET($R$3,0,0,'Données projet'!$E$9+1,1))-AVERAGE(OFFSET($H$3,0,0,'Données projet'!$E$9+1,1))</f>
        <v>233.2883475283553</v>
      </c>
      <c r="T51" s="59">
        <f t="shared" si="34"/>
        <v>211.4485324078031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14.704219792322487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14.704219792322487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8.9771428571428569</v>
      </c>
      <c r="AI51" s="13">
        <f>IF('Données projet'!$A$62&gt;35,AI50+AH51-AQ50,IF(A51&lt;'Données projet'!$A$62,$AF$205^A51,IF(A51='Données projet'!$A$62,'Données projet'!$B$62,AI50+AH51-AQ50)))</f>
        <v>126.27142857142854</v>
      </c>
      <c r="AJ51" s="13">
        <f>AI51*VLOOKUP('Données projet'!$B$10,Paramètres!$A$1:$I$89,3,0)*VLOOKUP('Données projet'!$B$10,Paramètres!$A$1:$I$89,5,0)</f>
        <v>106.37105142857141</v>
      </c>
      <c r="AK51" s="13">
        <f t="shared" si="35"/>
        <v>28.474313816998091</v>
      </c>
      <c r="AL51" s="20">
        <f t="shared" si="4"/>
        <v>234.85567780270017</v>
      </c>
      <c r="AM51" s="59">
        <f t="shared" si="5"/>
        <v>528.18901113603351</v>
      </c>
      <c r="AN51" s="59">
        <f ca="1">AVERAGE(OFFSET($AM$3,0,0,'Données projet'!$E$10+1,1))-AVERAGE(OFFSET($H$3,0,0,'Données projet'!$E$10+1,1))</f>
        <v>206.25389915739601</v>
      </c>
      <c r="AO51" s="59">
        <f t="shared" si="36"/>
        <v>155.24154927193064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4.4284470260128161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4.4284470260128161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41.277599999999993</v>
      </c>
      <c r="D52" s="11">
        <f t="shared" si="32"/>
        <v>12.336652807074945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413.86440763356092</v>
      </c>
      <c r="H52" s="67">
        <f t="shared" si="1"/>
        <v>386.7114903056555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8.4224999999999994</v>
      </c>
      <c r="N52" s="13">
        <f>IF('Données projet'!$A$36&gt;35,N51+M52-V51,IF(A52&lt;'Données projet'!$A$36,$K$205^A52,IF(A52='Données projet'!$A$36,'Données projet'!$B$36,N51+M52-V51)))</f>
        <v>131.53500000000003</v>
      </c>
      <c r="O52" s="13">
        <f>N52*VLOOKUP('Données projet'!$B$9,Paramètres!$A$1:$I$89,3,0)*VLOOKUP('Données projet'!$B$9,Paramètres!$A$1:$I$89,5,0)</f>
        <v>119.01286800000003</v>
      </c>
      <c r="P52" s="13">
        <f t="shared" si="33"/>
        <v>31.444656400966753</v>
      </c>
      <c r="Q52" s="20">
        <f t="shared" si="53"/>
        <v>262.04685499835045</v>
      </c>
      <c r="R52" s="59">
        <f t="shared" si="0"/>
        <v>555.38018833168371</v>
      </c>
      <c r="S52" s="59">
        <f ca="1">AVERAGE(OFFSET($R$3,0,0,'Données projet'!$E$9+1,1))-AVERAGE(OFFSET($H$3,0,0,'Données projet'!$E$9+1,1))</f>
        <v>233.2883475283553</v>
      </c>
      <c r="T52" s="59">
        <f t="shared" si="34"/>
        <v>211.4485324078031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14.415879010883533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14.415879010883533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8.9771428571428569</v>
      </c>
      <c r="AI52" s="13">
        <f>IF('Données projet'!$A$62&gt;35,AI51+AH52-AQ51,IF(A52&lt;'Données projet'!$A$62,$AF$205^A52,IF(A52='Données projet'!$A$62,'Données projet'!$B$62,AI51+AH52-AQ51)))</f>
        <v>135.24857142857141</v>
      </c>
      <c r="AJ52" s="13">
        <f>AI52*VLOOKUP('Données projet'!$B$10,Paramètres!$A$1:$I$89,3,0)*VLOOKUP('Données projet'!$B$10,Paramètres!$A$1:$I$89,5,0)</f>
        <v>113.93339657142857</v>
      </c>
      <c r="AK52" s="13">
        <f t="shared" si="35"/>
        <v>30.255820014498838</v>
      </c>
      <c r="AL52" s="20">
        <f t="shared" si="4"/>
        <v>251.12955222049018</v>
      </c>
      <c r="AM52" s="59">
        <f t="shared" si="5"/>
        <v>544.46288555382353</v>
      </c>
      <c r="AN52" s="59">
        <f ca="1">AVERAGE(OFFSET($AM$3,0,0,'Données projet'!$E$10+1,1))-AVERAGE(OFFSET($H$3,0,0,'Données projet'!$E$10+1,1))</f>
        <v>206.25389915739601</v>
      </c>
      <c r="AO52" s="59">
        <f t="shared" si="36"/>
        <v>155.24154927193064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4.3416078809186809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4.3416078809186809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42.11999999999999</v>
      </c>
      <c r="D53" s="11">
        <f t="shared" si="32"/>
        <v>12.558853141338753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422.08237512612362</v>
      </c>
      <c r="H53" s="67">
        <f t="shared" si="1"/>
        <v>388.56566922116497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8.4224999999999994</v>
      </c>
      <c r="N53" s="13">
        <f>IF('Données projet'!$A$36&gt;35,N52+M53-V52,IF(A53&lt;'Données projet'!$A$36,$K$205^A53,IF(A53='Données projet'!$A$36,'Données projet'!$B$36,N52+M53-V52)))</f>
        <v>139.95750000000004</v>
      </c>
      <c r="O53" s="13">
        <f>N53*VLOOKUP('Données projet'!$B$9,Paramètres!$A$1:$I$89,3,0)*VLOOKUP('Données projet'!$B$9,Paramètres!$A$1:$I$89,5,0)</f>
        <v>126.63354600000004</v>
      </c>
      <c r="P53" s="13">
        <f t="shared" si="33"/>
        <v>33.217286815543467</v>
      </c>
      <c r="Q53" s="20">
        <f t="shared" si="53"/>
        <v>278.40686715373823</v>
      </c>
      <c r="R53" s="59">
        <f t="shared" si="0"/>
        <v>571.74020048707155</v>
      </c>
      <c r="S53" s="59">
        <f ca="1">AVERAGE(OFFSET($R$3,0,0,'Données projet'!$E$9+1,1))-AVERAGE(OFFSET($H$3,0,0,'Données projet'!$E$9+1,1))</f>
        <v>233.2883475283553</v>
      </c>
      <c r="T53" s="59">
        <f t="shared" si="34"/>
        <v>211.4485324078031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14.133192416298085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14.133192416298085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8.9771428571428569</v>
      </c>
      <c r="AI53" s="13">
        <f>IF('Données projet'!$A$62&gt;35,AI52+AH53-AQ52,IF(A53&lt;'Données projet'!$A$62,$AF$205^A53,IF(A53='Données projet'!$A$62,'Données projet'!$B$62,AI52+AH53-AQ52)))</f>
        <v>144.22571428571428</v>
      </c>
      <c r="AJ53" s="13">
        <f>AI53*VLOOKUP('Données projet'!$B$10,Paramètres!$A$1:$I$89,3,0)*VLOOKUP('Données projet'!$B$10,Paramètres!$A$1:$I$89,5,0)</f>
        <v>121.49574171428571</v>
      </c>
      <c r="AK53" s="13">
        <f t="shared" si="35"/>
        <v>32.02360457917726</v>
      </c>
      <c r="AL53" s="20">
        <f t="shared" si="4"/>
        <v>267.37952812778133</v>
      </c>
      <c r="AM53" s="59">
        <f t="shared" si="5"/>
        <v>560.7128614611147</v>
      </c>
      <c r="AN53" s="59">
        <f ca="1">AVERAGE(OFFSET($AM$3,0,0,'Données projet'!$E$10+1,1))-AVERAGE(OFFSET($H$3,0,0,'Données projet'!$E$10+1,1))</f>
        <v>206.25389915739601</v>
      </c>
      <c r="AO53" s="59">
        <f t="shared" si="36"/>
        <v>155.24154927193064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4.2564715984931931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4.2564715984931931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42.962399999999988</v>
      </c>
      <c r="D54" s="11">
        <f t="shared" si="32"/>
        <v>12.780536758460318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430.29635392495675</v>
      </c>
      <c r="H54" s="67">
        <f t="shared" si="1"/>
        <v>390.41894818765167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8.4224999999999994</v>
      </c>
      <c r="N54" s="13">
        <f>IF('Données projet'!$A$36&gt;35,N53+M54-V53,IF(A54&lt;'Données projet'!$A$36,$K$205^A54,IF(A54='Données projet'!$A$36,'Données projet'!$B$36,N53+M54-V53)))</f>
        <v>148.38000000000005</v>
      </c>
      <c r="O54" s="13">
        <f>N54*VLOOKUP('Données projet'!$B$9,Paramètres!$A$1:$I$89,3,0)*VLOOKUP('Données projet'!$B$9,Paramètres!$A$1:$I$89,5,0)</f>
        <v>134.25422400000005</v>
      </c>
      <c r="P54" s="13">
        <f t="shared" si="33"/>
        <v>34.977535749604741</v>
      </c>
      <c r="Q54" s="20">
        <f t="shared" si="53"/>
        <v>294.74531489722835</v>
      </c>
      <c r="R54" s="59">
        <f t="shared" si="0"/>
        <v>588.07864823056161</v>
      </c>
      <c r="S54" s="59">
        <f ca="1">AVERAGE(OFFSET($R$3,0,0,'Données projet'!$E$9+1,1))-AVERAGE(OFFSET($H$3,0,0,'Données projet'!$E$9+1,1))</f>
        <v>233.2883475283553</v>
      </c>
      <c r="T54" s="59">
        <f t="shared" si="34"/>
        <v>211.4485324078031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13.856049133410661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13.856049133410661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8.9771428571428569</v>
      </c>
      <c r="AI54" s="13">
        <f>IF('Données projet'!$A$62&gt;35,AI53+AH54-AQ53,IF(A54&lt;'Données projet'!$A$62,$AF$205^A54,IF(A54='Données projet'!$A$62,'Données projet'!$B$62,AI53+AH54-AQ53)))</f>
        <v>153.20285714285714</v>
      </c>
      <c r="AJ54" s="13">
        <f>AI54*VLOOKUP('Données projet'!$B$10,Paramètres!$A$1:$I$89,3,0)*VLOOKUP('Données projet'!$B$10,Paramètres!$A$1:$I$89,5,0)</f>
        <v>129.05808685714285</v>
      </c>
      <c r="AK54" s="13">
        <f t="shared" si="35"/>
        <v>33.778618832279214</v>
      </c>
      <c r="AL54" s="20">
        <f t="shared" si="4"/>
        <v>283.60726240907678</v>
      </c>
      <c r="AM54" s="59">
        <f t="shared" si="5"/>
        <v>576.9405957424101</v>
      </c>
      <c r="AN54" s="59">
        <f ca="1">AVERAGE(OFFSET($AM$3,0,0,'Données projet'!$E$10+1,1))-AVERAGE(OFFSET($H$3,0,0,'Données projet'!$E$10+1,1))</f>
        <v>206.25389915739601</v>
      </c>
      <c r="AO54" s="59">
        <f t="shared" si="36"/>
        <v>155.24154927193064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4.1730047866380637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4.1730047866380637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43.804799999999986</v>
      </c>
      <c r="D55" s="11">
        <f t="shared" si="32"/>
        <v>13.001714958042184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438.50643125506241</v>
      </c>
      <c r="H55" s="67">
        <f t="shared" si="1"/>
        <v>392.27134688525678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8.4224999999999994</v>
      </c>
      <c r="N55" s="13">
        <f>IF('Données projet'!$A$36&gt;35,N54+M55-V54,IF(A55&lt;'Données projet'!$A$36,$K$205^A55,IF(A55='Données projet'!$A$36,'Données projet'!$B$36,N54+M55-V54)))</f>
        <v>156.80250000000007</v>
      </c>
      <c r="O55" s="13">
        <f>N55*VLOOKUP('Données projet'!$B$9,Paramètres!$A$1:$I$89,3,0)*VLOOKUP('Données projet'!$B$9,Paramètres!$A$1:$I$89,5,0)</f>
        <v>141.87490200000005</v>
      </c>
      <c r="P55" s="13">
        <f t="shared" si="33"/>
        <v>36.726186098536203</v>
      </c>
      <c r="Q55" s="20">
        <f t="shared" si="53"/>
        <v>311.06356177161734</v>
      </c>
      <c r="R55" s="59">
        <f t="shared" si="0"/>
        <v>604.39689510495066</v>
      </c>
      <c r="S55" s="59">
        <f ca="1">AVERAGE(OFFSET($R$3,0,0,'Données projet'!$E$9+1,1))-AVERAGE(OFFSET($H$3,0,0,'Données projet'!$E$9+1,1))</f>
        <v>233.2883475283553</v>
      </c>
      <c r="T55" s="59">
        <f t="shared" si="34"/>
        <v>211.4485324078031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13.584340461259947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13.584340461259947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162.18</v>
      </c>
      <c r="AG55" s="12">
        <f>VLOOKUP(A55,'Données projet'!$A$61:$I$81,9,0)</f>
        <v>8.9771428571428569</v>
      </c>
      <c r="AH55" s="12">
        <f t="array" ref="AH55">INDEX(AG:AG,MIN(IF(ISNUMBER(AG55:AG251),ROW(AG55:AG251),"")))</f>
        <v>8.9771428571428569</v>
      </c>
      <c r="AI55" s="13">
        <f>IF('Données projet'!$A$62&gt;35,AI54+AH55-AQ54,IF(A55&lt;'Données projet'!$A$62,$AF$205^A55,IF(A55='Données projet'!$A$62,'Données projet'!$B$62,AI54+AH55-AQ54)))</f>
        <v>162.18</v>
      </c>
      <c r="AJ55" s="13">
        <f>AI55*VLOOKUP('Données projet'!$B$10,Paramètres!$A$1:$I$89,3,0)*VLOOKUP('Données projet'!$B$10,Paramètres!$A$1:$I$89,5,0)</f>
        <v>136.62043200000002</v>
      </c>
      <c r="AK55" s="13">
        <f t="shared" si="35"/>
        <v>35.521696309060069</v>
      </c>
      <c r="AL55" s="20">
        <f t="shared" si="4"/>
        <v>299.81420680494631</v>
      </c>
      <c r="AM55" s="59">
        <f t="shared" si="5"/>
        <v>593.14754013827962</v>
      </c>
      <c r="AN55" s="59">
        <f ca="1">AVERAGE(OFFSET($AM$3,0,0,'Données projet'!$E$10+1,1))-AVERAGE(OFFSET($H$3,0,0,'Données projet'!$E$10+1,1))</f>
        <v>206.25389915739601</v>
      </c>
      <c r="AO55" s="59">
        <f t="shared" si="36"/>
        <v>155.24154927193064</v>
      </c>
      <c r="AP55" s="15">
        <f>IF(ISNA(VLOOKUP(A55,'Données projet'!$A$61:$I$81,3,0)),0,VLOOKUP(A55,'Données projet'!$A$61:$I$81,3,0))</f>
        <v>3</v>
      </c>
      <c r="AQ55" s="15">
        <f>IF(ISNA(VLOOKUP(A55,'Données projet'!$A$61:$I$81,4,0)),0,VLOOKUP(A55,'Données projet'!$A$61:$I$81,4,0))</f>
        <v>40.9</v>
      </c>
      <c r="AR55" s="16">
        <f>IF(ISNA(VLOOKUP(A55,'Données projet'!$A$61:$I$81,5,0)),0%,VLOOKUP(A55,'Données projet'!$A$61:$I$81,5,0)*VLOOKUP('Données projet'!$B$10,Paramètres!$A$1:$I$89,7,0))</f>
        <v>0.129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9.004533587841566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9.004533587841566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44.647199999999984</v>
      </c>
      <c r="D56" s="11">
        <f t="shared" si="32"/>
        <v>13.222398580222531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446.71269079470017</v>
      </c>
      <c r="H56" s="67">
        <f t="shared" si="1"/>
        <v>394.1228841938875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8.4224999999999994</v>
      </c>
      <c r="N56" s="13">
        <f>IF('Données projet'!$A$36&gt;35,N55+M56-V55,IF(A56&lt;'Données projet'!$A$36,$K$205^A56,IF(A56='Données projet'!$A$36,'Données projet'!$B$36,N55+M56-V55)))</f>
        <v>165.22500000000008</v>
      </c>
      <c r="O56" s="13">
        <f>N56*VLOOKUP('Données projet'!$B$9,Paramètres!$A$1:$I$89,3,0)*VLOOKUP('Données projet'!$B$9,Paramètres!$A$1:$I$89,5,0)</f>
        <v>149.49558000000007</v>
      </c>
      <c r="P56" s="13">
        <f t="shared" si="33"/>
        <v>38.463931902634179</v>
      </c>
      <c r="Q56" s="20">
        <f t="shared" si="53"/>
        <v>327.36281656375462</v>
      </c>
      <c r="R56" s="59">
        <f t="shared" si="0"/>
        <v>620.69614989708793</v>
      </c>
      <c r="S56" s="59">
        <f ca="1">AVERAGE(OFFSET($R$3,0,0,'Données projet'!$E$9+1,1))-AVERAGE(OFFSET($H$3,0,0,'Données projet'!$E$9+1,1))</f>
        <v>233.2883475283553</v>
      </c>
      <c r="T56" s="59">
        <f t="shared" si="34"/>
        <v>211.4485324078031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13.317959830444183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13.317959830444183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8.757142857142858</v>
      </c>
      <c r="AI56" s="13">
        <f>IF('Données projet'!$A$62&gt;35,AI55+AH56-AQ55,IF(A56&lt;'Données projet'!$A$62,$AF$205^A56,IF(A56='Données projet'!$A$62,'Données projet'!$B$62,AI55+AH56-AQ55)))</f>
        <v>130.03714285714287</v>
      </c>
      <c r="AJ56" s="13">
        <f>AI56*VLOOKUP('Données projet'!$B$10,Paramètres!$A$1:$I$89,3,0)*VLOOKUP('Données projet'!$B$10,Paramètres!$A$1:$I$89,5,0)</f>
        <v>109.54328914285718</v>
      </c>
      <c r="AK56" s="13">
        <f t="shared" si="35"/>
        <v>29.223353890386761</v>
      </c>
      <c r="AL56" s="20">
        <f t="shared" si="4"/>
        <v>241.6852366162332</v>
      </c>
      <c r="AM56" s="59">
        <f t="shared" si="5"/>
        <v>535.01856994956654</v>
      </c>
      <c r="AN56" s="59">
        <f ca="1">AVERAGE(OFFSET($AM$3,0,0,'Données projet'!$E$10+1,1))-AVERAGE(OFFSET($H$3,0,0,'Données projet'!$E$10+1,1))</f>
        <v>206.25389915739601</v>
      </c>
      <c r="AO56" s="59">
        <f t="shared" si="36"/>
        <v>155.24154927193064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8.8279601764071689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8.8279601764071689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45.489599999999982</v>
      </c>
      <c r="D57" s="11">
        <f t="shared" si="32"/>
        <v>13.442598032668434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454.91521288375628</v>
      </c>
      <c r="H57" s="67">
        <f t="shared" si="1"/>
        <v>395.97357824023078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8.4224999999999994</v>
      </c>
      <c r="N57" s="13">
        <f>IF('Données projet'!$A$36&gt;35,N56+M57-V56,IF(A57&lt;'Données projet'!$A$36,$K$205^A57,IF(A57='Données projet'!$A$36,'Données projet'!$B$36,N56+M57-V56)))</f>
        <v>173.64750000000009</v>
      </c>
      <c r="O57" s="13">
        <f>N57*VLOOKUP('Données projet'!$B$9,Paramètres!$A$1:$I$89,3,0)*VLOOKUP('Données projet'!$B$9,Paramètres!$A$1:$I$89,5,0)</f>
        <v>157.11625800000007</v>
      </c>
      <c r="P57" s="13">
        <f t="shared" si="33"/>
        <v>40.191392446681604</v>
      </c>
      <c r="Q57" s="20">
        <f t="shared" si="53"/>
        <v>343.64415786130394</v>
      </c>
      <c r="R57" s="59">
        <f t="shared" si="0"/>
        <v>636.9774911946372</v>
      </c>
      <c r="S57" s="59">
        <f ca="1">AVERAGE(OFFSET($R$3,0,0,'Données projet'!$E$9+1,1))-AVERAGE(OFFSET($H$3,0,0,'Données projet'!$E$9+1,1))</f>
        <v>233.2883475283553</v>
      </c>
      <c r="T57" s="59">
        <f t="shared" si="34"/>
        <v>211.4485324078031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13.056802761322574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13.056802761322574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8.757142857142858</v>
      </c>
      <c r="AI57" s="13">
        <f>IF('Données projet'!$A$62&gt;35,AI56+AH57-AQ56,IF(A57&lt;'Données projet'!$A$62,$AF$205^A57,IF(A57='Données projet'!$A$62,'Données projet'!$B$62,AI56+AH57-AQ56)))</f>
        <v>138.79428571428573</v>
      </c>
      <c r="AJ57" s="13">
        <f>AI57*VLOOKUP('Données projet'!$B$10,Paramètres!$A$1:$I$89,3,0)*VLOOKUP('Données projet'!$B$10,Paramètres!$A$1:$I$89,5,0)</f>
        <v>116.9203062857143</v>
      </c>
      <c r="AK57" s="13">
        <f t="shared" si="35"/>
        <v>30.95562804985342</v>
      </c>
      <c r="AL57" s="20">
        <f t="shared" si="4"/>
        <v>257.55058563444715</v>
      </c>
      <c r="AM57" s="59">
        <f t="shared" si="5"/>
        <v>550.88391896778046</v>
      </c>
      <c r="AN57" s="59">
        <f ca="1">AVERAGE(OFFSET($AM$3,0,0,'Données projet'!$E$10+1,1))-AVERAGE(OFFSET($H$3,0,0,'Données projet'!$E$10+1,1))</f>
        <v>206.25389915739601</v>
      </c>
      <c r="AO57" s="59">
        <f t="shared" si="36"/>
        <v>155.24154927193064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8.6548492618718544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8.6548492618718544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46.331999999999979</v>
      </c>
      <c r="D58" s="11">
        <f t="shared" si="32"/>
        <v>13.662323315513055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463.11407471624102</v>
      </c>
      <c r="H58" s="67">
        <f t="shared" si="1"/>
        <v>397.82344644118518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182.07</v>
      </c>
      <c r="L58" s="12">
        <f>VLOOKUP(A58,'Données projet'!$A$35:$I$55,9,0)</f>
        <v>8.4224999999999994</v>
      </c>
      <c r="M58" s="12">
        <f t="array" ref="M58">INDEX(L:L,MIN(IF(ISNUMBER(L58:L254),ROW(L58:L254),"")))</f>
        <v>8.4224999999999994</v>
      </c>
      <c r="N58" s="13">
        <f>IF('Données projet'!$A$36&gt;35,N57+M58-V57,IF(A58&lt;'Données projet'!$A$36,$K$205^A58,IF(A58='Données projet'!$A$36,'Données projet'!$B$36,N57+M58-V57)))</f>
        <v>182.07000000000011</v>
      </c>
      <c r="O58" s="13">
        <f>N58*VLOOKUP('Données projet'!$B$9,Paramètres!$A$1:$I$89,3,0)*VLOOKUP('Données projet'!$B$9,Paramètres!$A$1:$I$89,5,0)</f>
        <v>164.7369360000001</v>
      </c>
      <c r="P58" s="13">
        <f t="shared" si="33"/>
        <v>41.909123546424219</v>
      </c>
      <c r="Q58" s="20">
        <f t="shared" si="53"/>
        <v>359.90855371002232</v>
      </c>
      <c r="R58" s="59">
        <f t="shared" si="0"/>
        <v>653.24188704335563</v>
      </c>
      <c r="S58" s="59">
        <f ca="1">AVERAGE(OFFSET($R$3,0,0,'Données projet'!$E$9+1,1))-AVERAGE(OFFSET($H$3,0,0,'Données projet'!$E$9+1,1))</f>
        <v>233.2883475283553</v>
      </c>
      <c r="T58" s="59">
        <f t="shared" si="34"/>
        <v>211.4485324078031</v>
      </c>
      <c r="U58" s="15">
        <f>IF(ISNA(VLOOKUP(A58,'Données projet'!$A$35:$I$55,3,0)),0,VLOOKUP(A58,'Données projet'!$A$35:$I$55,3,0))</f>
        <v>3</v>
      </c>
      <c r="V58" s="15">
        <f>IF(ISNA(VLOOKUP(A58,'Données projet'!$A$35:$I$55,4,0)),0,VLOOKUP(A58,'Données projet'!$A$35:$I$55,4,0))</f>
        <v>50.03</v>
      </c>
      <c r="W58" s="16">
        <f>IF(ISNA(VLOOKUP(A58,'Données projet'!$A$35:$I$55,5,0)),0%,VLOOKUP(A58,'Données projet'!$A$35:$I$55,5,0)*VLOOKUP('Données projet'!$B$9,Paramètres!$A$1:$I$89,7,0))</f>
        <v>0.129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19.256118627725158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19.256118627725158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8.757142857142858</v>
      </c>
      <c r="AI58" s="13">
        <f>IF('Données projet'!$A$62&gt;35,AI57+AH58-AQ57,IF(A58&lt;'Données projet'!$A$62,$AF$205^A58,IF(A58='Données projet'!$A$62,'Données projet'!$B$62,AI57+AH58-AQ57)))</f>
        <v>147.5514285714286</v>
      </c>
      <c r="AJ58" s="13">
        <f>AI58*VLOOKUP('Données projet'!$B$10,Paramètres!$A$1:$I$89,3,0)*VLOOKUP('Données projet'!$B$10,Paramètres!$A$1:$I$89,5,0)</f>
        <v>124.29732342857146</v>
      </c>
      <c r="AK58" s="13">
        <f t="shared" si="35"/>
        <v>32.675217782102486</v>
      </c>
      <c r="AL58" s="20">
        <f t="shared" si="4"/>
        <v>273.39384260859043</v>
      </c>
      <c r="AM58" s="59">
        <f t="shared" si="5"/>
        <v>566.72717594192375</v>
      </c>
      <c r="AN58" s="59">
        <f ca="1">AVERAGE(OFFSET($AM$3,0,0,'Données projet'!$E$10+1,1))-AVERAGE(OFFSET($H$3,0,0,'Données projet'!$E$10+1,1))</f>
        <v>206.25389915739601</v>
      </c>
      <c r="AO58" s="59">
        <f t="shared" si="36"/>
        <v>155.24154927193064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8.4851329467833452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8.4851329467833452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47.174399999999977</v>
      </c>
      <c r="D59" s="11">
        <f t="shared" si="32"/>
        <v>13.881584044427926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471.30935051839083</v>
      </c>
      <c r="H59" s="67">
        <f t="shared" si="1"/>
        <v>399.67250554404524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7.8874999999999993</v>
      </c>
      <c r="N59" s="13">
        <f>IF('Données projet'!$A$36&gt;35,N58+M59-V58,IF(A59&lt;'Données projet'!$A$36,$K$205^A59,IF(A59='Données projet'!$A$36,'Données projet'!$B$36,N58+M59-V58)))</f>
        <v>139.92750000000009</v>
      </c>
      <c r="O59" s="13">
        <f>N59*VLOOKUP('Données projet'!$B$9,Paramètres!$A$1:$I$89,3,0)*VLOOKUP('Données projet'!$B$9,Paramètres!$A$1:$I$89,5,0)</f>
        <v>126.60640200000007</v>
      </c>
      <c r="P59" s="13">
        <f t="shared" si="33"/>
        <v>33.210995371179976</v>
      </c>
      <c r="Q59" s="20">
        <f t="shared" si="53"/>
        <v>278.34863375480523</v>
      </c>
      <c r="R59" s="59">
        <f t="shared" si="0"/>
        <v>571.68196708813855</v>
      </c>
      <c r="S59" s="59">
        <f ca="1">AVERAGE(OFFSET($R$3,0,0,'Données projet'!$E$9+1,1))-AVERAGE(OFFSET($H$3,0,0,'Données projet'!$E$9+1,1))</f>
        <v>233.2883475283553</v>
      </c>
      <c r="T59" s="59">
        <f t="shared" si="34"/>
        <v>211.4485324078031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18.878517886508099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18.878517886508099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8.757142857142858</v>
      </c>
      <c r="AI59" s="13">
        <f>IF('Données projet'!$A$62&gt;35,AI58+AH59-AQ58,IF(A59&lt;'Données projet'!$A$62,$AF$205^A59,IF(A59='Données projet'!$A$62,'Données projet'!$B$62,AI58+AH59-AQ58)))</f>
        <v>156.30857142857147</v>
      </c>
      <c r="AJ59" s="13">
        <f>AI59*VLOOKUP('Données projet'!$B$10,Paramètres!$A$1:$I$89,3,0)*VLOOKUP('Données projet'!$B$10,Paramètres!$A$1:$I$89,5,0)</f>
        <v>131.67434057142862</v>
      </c>
      <c r="AK59" s="13">
        <f t="shared" si="35"/>
        <v>34.382961649798958</v>
      </c>
      <c r="AL59" s="20">
        <f t="shared" si="4"/>
        <v>289.21646803530473</v>
      </c>
      <c r="AM59" s="59">
        <f t="shared" si="5"/>
        <v>582.5498013686381</v>
      </c>
      <c r="AN59" s="59">
        <f ca="1">AVERAGE(OFFSET($AM$3,0,0,'Données projet'!$E$10+1,1))-AVERAGE(OFFSET($H$3,0,0,'Données projet'!$E$10+1,1))</f>
        <v>206.25389915739601</v>
      </c>
      <c r="AO59" s="59">
        <f t="shared" si="36"/>
        <v>155.24154927193064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8.3187446651169914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8.3187446651169914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48.016799999999975</v>
      </c>
      <c r="D60" s="11">
        <f t="shared" si="32"/>
        <v>14.100389472000545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479.50111171368826</v>
      </c>
      <c r="H60" s="67">
        <f t="shared" si="1"/>
        <v>401.52077166373419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7.8874999999999993</v>
      </c>
      <c r="N60" s="13">
        <f>IF('Données projet'!$A$36&gt;35,N59+M60-V59,IF(A60&lt;'Données projet'!$A$36,$K$205^A60,IF(A60='Données projet'!$A$36,'Données projet'!$B$36,N59+M60-V59)))</f>
        <v>147.81500000000008</v>
      </c>
      <c r="O60" s="13">
        <f>N60*VLOOKUP('Données projet'!$B$9,Paramètres!$A$1:$I$89,3,0)*VLOOKUP('Données projet'!$B$9,Paramètres!$A$1:$I$89,5,0)</f>
        <v>133.74301200000005</v>
      </c>
      <c r="P60" s="13">
        <f t="shared" si="33"/>
        <v>34.859825476083131</v>
      </c>
      <c r="Q60" s="20">
        <f t="shared" si="53"/>
        <v>293.64994193751153</v>
      </c>
      <c r="R60" s="59">
        <f t="shared" si="0"/>
        <v>586.98327527084484</v>
      </c>
      <c r="S60" s="59">
        <f ca="1">AVERAGE(OFFSET($R$3,0,0,'Données projet'!$E$9+1,1))-AVERAGE(OFFSET($H$3,0,0,'Données projet'!$E$9+1,1))</f>
        <v>233.2883475283553</v>
      </c>
      <c r="T60" s="59">
        <f t="shared" si="34"/>
        <v>211.4485324078031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18.508321665512597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18.508321665512597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8.757142857142858</v>
      </c>
      <c r="AI60" s="13">
        <f>IF('Données projet'!$A$62&gt;35,AI59+AH60-AQ59,IF(A60&lt;'Données projet'!$A$62,$AF$205^A60,IF(A60='Données projet'!$A$62,'Données projet'!$B$62,AI59+AH60-AQ59)))</f>
        <v>165.06571428571434</v>
      </c>
      <c r="AJ60" s="13">
        <f>AI60*VLOOKUP('Données projet'!$B$10,Paramètres!$A$1:$I$89,3,0)*VLOOKUP('Données projet'!$B$10,Paramètres!$A$1:$I$89,5,0)</f>
        <v>139.05135771428579</v>
      </c>
      <c r="AK60" s="13">
        <f t="shared" si="35"/>
        <v>36.079598948273173</v>
      </c>
      <c r="AL60" s="20">
        <f t="shared" si="4"/>
        <v>305.01974952062346</v>
      </c>
      <c r="AM60" s="59">
        <f t="shared" si="5"/>
        <v>598.35308285395672</v>
      </c>
      <c r="AN60" s="59">
        <f ca="1">AVERAGE(OFFSET($AM$3,0,0,'Données projet'!$E$10+1,1))-AVERAGE(OFFSET($H$3,0,0,'Données projet'!$E$10+1,1))</f>
        <v>206.25389915739601</v>
      </c>
      <c r="AO60" s="59">
        <f t="shared" si="36"/>
        <v>155.24154927193064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8.1556191561672833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8.1556191561672833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48.859199999999973</v>
      </c>
      <c r="D61" s="11">
        <f t="shared" si="32"/>
        <v>14.318748507569309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487.68942707597347</v>
      </c>
      <c r="H61" s="67">
        <f t="shared" si="1"/>
        <v>403.36826031734978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7.8874999999999993</v>
      </c>
      <c r="N61" s="13">
        <f>IF('Données projet'!$A$36&gt;35,N60+M61-V60,IF(A61&lt;'Données projet'!$A$36,$K$205^A61,IF(A61='Données projet'!$A$36,'Données projet'!$B$36,N60+M61-V60)))</f>
        <v>155.70250000000007</v>
      </c>
      <c r="O61" s="13">
        <f>N61*VLOOKUP('Données projet'!$B$9,Paramètres!$A$1:$I$89,3,0)*VLOOKUP('Données projet'!$B$9,Paramètres!$A$1:$I$89,5,0)</f>
        <v>140.87962200000004</v>
      </c>
      <c r="P61" s="13">
        <f t="shared" si="33"/>
        <v>36.498441028764226</v>
      </c>
      <c r="Q61" s="20">
        <f t="shared" si="53"/>
        <v>308.93345977509779</v>
      </c>
      <c r="R61" s="59">
        <f t="shared" si="0"/>
        <v>602.2667931084311</v>
      </c>
      <c r="S61" s="59">
        <f ca="1">AVERAGE(OFFSET($R$3,0,0,'Données projet'!$E$9+1,1))-AVERAGE(OFFSET($H$3,0,0,'Données projet'!$E$9+1,1))</f>
        <v>233.2883475283553</v>
      </c>
      <c r="T61" s="59">
        <f t="shared" si="34"/>
        <v>211.4485324078031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18.145384766613418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18.145384766613418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8.757142857142858</v>
      </c>
      <c r="AI61" s="13">
        <f>IF('Données projet'!$A$62&gt;35,AI60+AH61-AQ60,IF(A61&lt;'Données projet'!$A$62,$AF$205^A61,IF(A61='Données projet'!$A$62,'Données projet'!$B$62,AI60+AH61-AQ60)))</f>
        <v>173.8228571428572</v>
      </c>
      <c r="AJ61" s="13">
        <f>AI61*VLOOKUP('Données projet'!$B$10,Paramètres!$A$1:$I$89,3,0)*VLOOKUP('Données projet'!$B$10,Paramètres!$A$1:$I$89,5,0)</f>
        <v>146.42837485714293</v>
      </c>
      <c r="AK61" s="13">
        <f t="shared" si="35"/>
        <v>37.765786099604732</v>
      </c>
      <c r="AL61" s="20">
        <f t="shared" si="4"/>
        <v>320.80483033300214</v>
      </c>
      <c r="AM61" s="59">
        <f t="shared" si="5"/>
        <v>614.13816366633546</v>
      </c>
      <c r="AN61" s="59">
        <f ca="1">AVERAGE(OFFSET($AM$3,0,0,'Données projet'!$E$10+1,1))-AVERAGE(OFFSET($H$3,0,0,'Données projet'!$E$10+1,1))</f>
        <v>206.25389915739601</v>
      </c>
      <c r="AO61" s="59">
        <f t="shared" si="36"/>
        <v>155.24154927193064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7.9956924389513437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7.9956924389513437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49.701599999999971</v>
      </c>
      <c r="D62" s="11">
        <f t="shared" si="32"/>
        <v>14.536669735651788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495.87436287169777</v>
      </c>
      <c r="H62" s="67">
        <f t="shared" si="1"/>
        <v>405.21498645626014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7.8874999999999993</v>
      </c>
      <c r="N62" s="13">
        <f>IF('Données projet'!$A$36&gt;35,N61+M62-V61,IF(A62&lt;'Données projet'!$A$36,$K$205^A62,IF(A62='Données projet'!$A$36,'Données projet'!$B$36,N61+M62-V61)))</f>
        <v>163.59000000000006</v>
      </c>
      <c r="O62" s="13">
        <f>N62*VLOOKUP('Données projet'!$B$9,Paramètres!$A$1:$I$89,3,0)*VLOOKUP('Données projet'!$B$9,Paramètres!$A$1:$I$89,5,0)</f>
        <v>148.01623200000006</v>
      </c>
      <c r="P62" s="13">
        <f t="shared" si="33"/>
        <v>38.127418508766176</v>
      </c>
      <c r="Q62" s="20">
        <f t="shared" si="53"/>
        <v>324.20019130276779</v>
      </c>
      <c r="R62" s="59">
        <f t="shared" si="0"/>
        <v>617.53352463610111</v>
      </c>
      <c r="S62" s="59">
        <f ca="1">AVERAGE(OFFSET($R$3,0,0,'Données projet'!$E$9+1,1))-AVERAGE(OFFSET($H$3,0,0,'Données projet'!$E$9+1,1))</f>
        <v>233.2883475283553</v>
      </c>
      <c r="T62" s="59">
        <f t="shared" si="34"/>
        <v>211.4485324078031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17.789564838932002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17.789564838932002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182.58</v>
      </c>
      <c r="AG62" s="12">
        <f>VLOOKUP(A62,'Données projet'!$A$61:$I$81,9,0)</f>
        <v>8.757142857142858</v>
      </c>
      <c r="AH62" s="12">
        <f t="array" ref="AH62">INDEX(AG:AG,MIN(IF(ISNUMBER(AG62:AG258),ROW(AG62:AG258),"")))</f>
        <v>8.757142857142858</v>
      </c>
      <c r="AI62" s="13">
        <f>IF('Données projet'!$A$62&gt;35,AI61+AH62-AQ61,IF(A62&lt;'Données projet'!$A$62,$AF$205^A62,IF(A62='Données projet'!$A$62,'Données projet'!$B$62,AI61+AH62-AQ61)))</f>
        <v>182.58000000000007</v>
      </c>
      <c r="AJ62" s="13">
        <f>AI62*VLOOKUP('Données projet'!$B$10,Paramètres!$A$1:$I$89,3,0)*VLOOKUP('Données projet'!$B$10,Paramètres!$A$1:$I$89,5,0)</f>
        <v>153.80539200000007</v>
      </c>
      <c r="AK62" s="13">
        <f t="shared" si="35"/>
        <v>39.442109649056263</v>
      </c>
      <c r="AL62" s="20">
        <f t="shared" si="4"/>
        <v>336.57273203877315</v>
      </c>
      <c r="AM62" s="59">
        <f t="shared" si="5"/>
        <v>629.90606537210647</v>
      </c>
      <c r="AN62" s="59">
        <f ca="1">AVERAGE(OFFSET($AM$3,0,0,'Données projet'!$E$10+1,1))-AVERAGE(OFFSET($H$3,0,0,'Données projet'!$E$10+1,1))</f>
        <v>206.25389915739601</v>
      </c>
      <c r="AO62" s="59">
        <f t="shared" si="36"/>
        <v>155.24154927193064</v>
      </c>
      <c r="AP62" s="15">
        <f>IF(ISNA(VLOOKUP(A62,'Données projet'!$A$61:$I$81,3,0)),0,VLOOKUP(A62,'Données projet'!$A$61:$I$81,3,0))</f>
        <v>4</v>
      </c>
      <c r="AQ62" s="15">
        <f>IF(ISNA(VLOOKUP(A62,'Données projet'!$A$61:$I$81,4,0)),0,VLOOKUP(A62,'Données projet'!$A$61:$I$81,4,0))</f>
        <v>38.119999999999997</v>
      </c>
      <c r="AR62" s="16">
        <f>IF(ISNA(VLOOKUP(A62,'Données projet'!$A$61:$I$81,5,0)),0%,VLOOKUP(A62,'Données projet'!$A$61:$I$81,5,0)*VLOOKUP('Données projet'!$B$10,Paramètres!$A$1:$I$89,7,0))</f>
        <v>0.129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12.418296420305392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12.418296420305392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50.543999999999969</v>
      </c>
      <c r="D63" s="11">
        <f t="shared" si="32"/>
        <v>14.754161433088246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504.05598299225989</v>
      </c>
      <c r="H63" s="67">
        <f t="shared" si="1"/>
        <v>407.06096449596197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7.8874999999999993</v>
      </c>
      <c r="N63" s="13">
        <f>IF('Données projet'!$A$36&gt;35,N62+M63-V62,IF(A63&lt;'Données projet'!$A$36,$K$205^A63,IF(A63='Données projet'!$A$36,'Données projet'!$B$36,N62+M63-V62)))</f>
        <v>171.47750000000005</v>
      </c>
      <c r="O63" s="13">
        <f>N63*VLOOKUP('Données projet'!$B$9,Paramètres!$A$1:$I$89,3,0)*VLOOKUP('Données projet'!$B$9,Paramètres!$A$1:$I$89,5,0)</f>
        <v>155.15284200000005</v>
      </c>
      <c r="P63" s="13">
        <f t="shared" si="33"/>
        <v>39.747275664765652</v>
      </c>
      <c r="Q63" s="20">
        <f t="shared" si="53"/>
        <v>339.45103826613359</v>
      </c>
      <c r="R63" s="59">
        <f t="shared" si="0"/>
        <v>632.78437159946691</v>
      </c>
      <c r="S63" s="59">
        <f ca="1">AVERAGE(OFFSET($R$3,0,0,'Données projet'!$E$9+1,1))-AVERAGE(OFFSET($H$3,0,0,'Données projet'!$E$9+1,1))</f>
        <v>233.2883475283553</v>
      </c>
      <c r="T63" s="59">
        <f t="shared" si="34"/>
        <v>211.4485324078031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17.440722323003694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17.440722323003694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8.5500000000000007</v>
      </c>
      <c r="AI63" s="13">
        <f>IF('Données projet'!$A$62&gt;35,AI62+AH63-AQ62,IF(A63&lt;'Données projet'!$A$62,$AF$205^A63,IF(A63='Données projet'!$A$62,'Données projet'!$B$62,AI62+AH63-AQ62)))</f>
        <v>153.01000000000008</v>
      </c>
      <c r="AJ63" s="13">
        <f>AI63*VLOOKUP('Données projet'!$B$10,Paramètres!$A$1:$I$89,3,0)*VLOOKUP('Données projet'!$B$10,Paramètres!$A$1:$I$89,5,0)</f>
        <v>128.89562400000008</v>
      </c>
      <c r="AK63" s="13">
        <f t="shared" si="35"/>
        <v>33.741043892711964</v>
      </c>
      <c r="AL63" s="20">
        <f t="shared" si="4"/>
        <v>283.25886324647348</v>
      </c>
      <c r="AM63" s="59">
        <f t="shared" si="5"/>
        <v>576.5921965798068</v>
      </c>
      <c r="AN63" s="59">
        <f ca="1">AVERAGE(OFFSET($AM$3,0,0,'Données projet'!$E$10+1,1))-AVERAGE(OFFSET($H$3,0,0,'Données projet'!$E$10+1,1))</f>
        <v>206.25389915739601</v>
      </c>
      <c r="AO63" s="59">
        <f t="shared" si="36"/>
        <v>155.24154927193064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12.174781201916108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12.174781201916108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51.386399999999966</v>
      </c>
      <c r="D64" s="11">
        <f t="shared" si="32"/>
        <v>14.971231585009825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512.23434907726858</v>
      </c>
      <c r="H64" s="67">
        <f t="shared" si="1"/>
        <v>408.90620834389205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7.8874999999999993</v>
      </c>
      <c r="N64" s="13">
        <f>IF('Données projet'!$A$36&gt;35,N63+M64-V63,IF(A64&lt;'Données projet'!$A$36,$K$205^A64,IF(A64='Données projet'!$A$36,'Données projet'!$B$36,N63+M64-V63)))</f>
        <v>179.36500000000004</v>
      </c>
      <c r="O64" s="13">
        <f>N64*VLOOKUP('Données projet'!$B$9,Paramètres!$A$1:$I$89,3,0)*VLOOKUP('Données projet'!$B$9,Paramètres!$A$1:$I$89,5,0)</f>
        <v>162.28945200000004</v>
      </c>
      <c r="P64" s="13">
        <f t="shared" si="33"/>
        <v>41.358479923290723</v>
      </c>
      <c r="Q64" s="20">
        <f t="shared" si="53"/>
        <v>354.68681476639807</v>
      </c>
      <c r="R64" s="59">
        <f t="shared" si="0"/>
        <v>648.02014809973139</v>
      </c>
      <c r="S64" s="59">
        <f ca="1">AVERAGE(OFFSET($R$3,0,0,'Données projet'!$E$9+1,1))-AVERAGE(OFFSET($H$3,0,0,'Données projet'!$E$9+1,1))</f>
        <v>233.2883475283553</v>
      </c>
      <c r="T64" s="59">
        <f t="shared" si="34"/>
        <v>211.4485324078031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17.098720396039813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17.098720396039813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8.5500000000000007</v>
      </c>
      <c r="AI64" s="13">
        <f>IF('Données projet'!$A$62&gt;35,AI63+AH64-AQ63,IF(A64&lt;'Données projet'!$A$62,$AF$205^A64,IF(A64='Données projet'!$A$62,'Données projet'!$B$62,AI63+AH64-AQ63)))</f>
        <v>161.56000000000009</v>
      </c>
      <c r="AJ64" s="13">
        <f>AI64*VLOOKUP('Données projet'!$B$10,Paramètres!$A$1:$I$89,3,0)*VLOOKUP('Données projet'!$B$10,Paramètres!$A$1:$I$89,5,0)</f>
        <v>136.09814400000008</v>
      </c>
      <c r="AK64" s="13">
        <f t="shared" si="35"/>
        <v>35.401679921027657</v>
      </c>
      <c r="AL64" s="20">
        <f t="shared" si="4"/>
        <v>298.69552666245664</v>
      </c>
      <c r="AM64" s="59">
        <f t="shared" si="5"/>
        <v>592.02885999578996</v>
      </c>
      <c r="AN64" s="59">
        <f ca="1">AVERAGE(OFFSET($AM$3,0,0,'Données projet'!$E$10+1,1))-AVERAGE(OFFSET($H$3,0,0,'Données projet'!$E$10+1,1))</f>
        <v>206.25389915739601</v>
      </c>
      <c r="AO64" s="59">
        <f t="shared" si="36"/>
        <v>155.24154927193064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11.936041168429821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11.936041168429821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52.228799999999964</v>
      </c>
      <c r="D65" s="11">
        <f t="shared" si="32"/>
        <v>15.187887899729997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520.40952062949441</v>
      </c>
      <c r="H65" s="67">
        <f t="shared" si="1"/>
        <v>410.75073142536297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7.8874999999999993</v>
      </c>
      <c r="N65" s="13">
        <f>IF('Données projet'!$A$36&gt;35,N64+M65-V64,IF(A65&lt;'Données projet'!$A$36,$K$205^A65,IF(A65='Données projet'!$A$36,'Données projet'!$B$36,N64+M65-V64)))</f>
        <v>187.25250000000003</v>
      </c>
      <c r="O65" s="13">
        <f>N65*VLOOKUP('Données projet'!$B$9,Paramètres!$A$1:$I$89,3,0)*VLOOKUP('Données projet'!$B$9,Paramètres!$A$1:$I$89,5,0)</f>
        <v>169.42606200000003</v>
      </c>
      <c r="P65" s="13">
        <f t="shared" si="33"/>
        <v>42.961455276606046</v>
      </c>
      <c r="Q65" s="20">
        <f t="shared" si="53"/>
        <v>369.90825925675563</v>
      </c>
      <c r="R65" s="59">
        <f t="shared" si="0"/>
        <v>663.24159259008889</v>
      </c>
      <c r="S65" s="59">
        <f ca="1">AVERAGE(OFFSET($R$3,0,0,'Données projet'!$E$9+1,1))-AVERAGE(OFFSET($H$3,0,0,'Données projet'!$E$9+1,1))</f>
        <v>233.2883475283553</v>
      </c>
      <c r="T65" s="59">
        <f t="shared" si="34"/>
        <v>211.4485324078031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16.763424918263116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16.763424918263116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8.5500000000000007</v>
      </c>
      <c r="AI65" s="13">
        <f>IF('Données projet'!$A$62&gt;35,AI64+AH65-AQ64,IF(A65&lt;'Données projet'!$A$62,$AF$205^A65,IF(A65='Données projet'!$A$62,'Données projet'!$B$62,AI64+AH65-AQ64)))</f>
        <v>170.1100000000001</v>
      </c>
      <c r="AJ65" s="13">
        <f>AI65*VLOOKUP('Données projet'!$B$10,Paramètres!$A$1:$I$89,3,0)*VLOOKUP('Données projet'!$B$10,Paramètres!$A$1:$I$89,5,0)</f>
        <v>143.3006640000001</v>
      </c>
      <c r="AK65" s="13">
        <f t="shared" si="35"/>
        <v>37.052112739725779</v>
      </c>
      <c r="AL65" s="20">
        <f t="shared" si="4"/>
        <v>314.11441948835591</v>
      </c>
      <c r="AM65" s="59">
        <f t="shared" si="5"/>
        <v>607.44775282168916</v>
      </c>
      <c r="AN65" s="59">
        <f ca="1">AVERAGE(OFFSET($AM$3,0,0,'Données projet'!$E$10+1,1))-AVERAGE(OFFSET($H$3,0,0,'Données projet'!$E$10+1,1))</f>
        <v>206.25389915739601</v>
      </c>
      <c r="AO65" s="59">
        <f t="shared" si="36"/>
        <v>155.24154927193064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11.701982681383159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11.701982681383159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53.071199999999962</v>
      </c>
      <c r="D66" s="11">
        <f t="shared" si="32"/>
        <v>15.404137822648002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528.5815551221948</v>
      </c>
      <c r="H66" s="67">
        <f t="shared" si="1"/>
        <v>412.59454670777848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195.14</v>
      </c>
      <c r="L66" s="12">
        <f>VLOOKUP(A66,'Données projet'!$A$35:$I$55,9,0)</f>
        <v>7.8874999999999993</v>
      </c>
      <c r="M66" s="12">
        <f t="array" ref="M66">INDEX(L:L,MIN(IF(ISNUMBER(L66:L262),ROW(L66:L262),"")))</f>
        <v>7.8874999999999993</v>
      </c>
      <c r="N66" s="13">
        <f>IF('Données projet'!$A$36&gt;35,N65+M66-V65,IF(A66&lt;'Données projet'!$A$36,$K$205^A66,IF(A66='Données projet'!$A$36,'Données projet'!$B$36,N65+M66-V65)))</f>
        <v>195.14000000000001</v>
      </c>
      <c r="O66" s="13">
        <f>N66*VLOOKUP('Données projet'!$B$9,Paramètres!$A$1:$I$89,3,0)*VLOOKUP('Données projet'!$B$9,Paramètres!$A$1:$I$89,5,0)</f>
        <v>176.56267200000002</v>
      </c>
      <c r="P66" s="13">
        <f t="shared" si="33"/>
        <v>44.556587977352798</v>
      </c>
      <c r="Q66" s="20">
        <f t="shared" si="53"/>
        <v>385.11604446055617</v>
      </c>
      <c r="R66" s="59">
        <f t="shared" si="0"/>
        <v>678.44937779388943</v>
      </c>
      <c r="S66" s="59">
        <f ca="1">AVERAGE(OFFSET($R$3,0,0,'Données projet'!$E$9+1,1))-AVERAGE(OFFSET($H$3,0,0,'Données projet'!$E$9+1,1))</f>
        <v>233.2883475283553</v>
      </c>
      <c r="T66" s="59">
        <f t="shared" si="34"/>
        <v>211.4485324078031</v>
      </c>
      <c r="U66" s="15">
        <f>IF(ISNA(VLOOKUP(A66,'Données projet'!$A$35:$I$55,3,0)),0,VLOOKUP(A66,'Données projet'!$A$35:$I$55,3,0))</f>
        <v>4</v>
      </c>
      <c r="V66" s="15">
        <f>IF(ISNA(VLOOKUP(A66,'Données projet'!$A$35:$I$55,4,0)),0,VLOOKUP(A66,'Données projet'!$A$35:$I$55,4,0))</f>
        <v>45.14</v>
      </c>
      <c r="W66" s="16">
        <f>IF(ISNA(VLOOKUP(A66,'Données projet'!$A$35:$I$55,5,0)),0%,VLOOKUP(A66,'Données projet'!$A$35:$I$55,5,0)*VLOOKUP('Données projet'!$B$9,Paramètres!$A$1:$I$89,7,0))</f>
        <v>0.25800000000000001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28.083498322476363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28.083498322476363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8.5500000000000007</v>
      </c>
      <c r="AI66" s="13">
        <f>IF('Données projet'!$A$62&gt;35,AI65+AH66-AQ65,IF(A66&lt;'Données projet'!$A$62,$AF$205^A66,IF(A66='Données projet'!$A$62,'Données projet'!$B$62,AI65+AH66-AQ65)))</f>
        <v>178.66000000000011</v>
      </c>
      <c r="AJ66" s="13">
        <f>AI66*VLOOKUP('Données projet'!$B$10,Paramètres!$A$1:$I$89,3,0)*VLOOKUP('Données projet'!$B$10,Paramètres!$A$1:$I$89,5,0)</f>
        <v>150.50318400000012</v>
      </c>
      <c r="AK66" s="13">
        <f t="shared" si="35"/>
        <v>38.692913693042001</v>
      </c>
      <c r="AL66" s="20">
        <f t="shared" si="4"/>
        <v>329.5165368153817</v>
      </c>
      <c r="AM66" s="59">
        <f t="shared" si="5"/>
        <v>622.84987014871501</v>
      </c>
      <c r="AN66" s="59">
        <f ca="1">AVERAGE(OFFSET($AM$3,0,0,'Données projet'!$E$10+1,1))-AVERAGE(OFFSET($H$3,0,0,'Données projet'!$E$10+1,1))</f>
        <v>206.25389915739601</v>
      </c>
      <c r="AO66" s="59">
        <f t="shared" si="36"/>
        <v>155.24154927193064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11.472513938505902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11.472513938505902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53.91359999999996</v>
      </c>
      <c r="D67" s="11">
        <f t="shared" si="32"/>
        <v>15.619988549244528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536.75050809943116</v>
      </c>
      <c r="H67" s="67">
        <f t="shared" si="1"/>
        <v>414.43766672326745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7.2875000000000014</v>
      </c>
      <c r="N67" s="13">
        <f>IF('Données projet'!$A$36&gt;35,N66+M67-V66,IF(A67&lt;'Données projet'!$A$36,$K$205^A67,IF(A67='Données projet'!$A$36,'Données projet'!$B$36,N66+M67-V66)))</f>
        <v>157.28750000000002</v>
      </c>
      <c r="O67" s="13">
        <f>N67*VLOOKUP('Données projet'!$B$9,Paramètres!$A$1:$I$89,3,0)*VLOOKUP('Données projet'!$B$9,Paramètres!$A$1:$I$89,5,0)</f>
        <v>142.31373000000002</v>
      </c>
      <c r="P67" s="13">
        <f t="shared" si="33"/>
        <v>36.826541833635034</v>
      </c>
      <c r="Q67" s="20">
        <f t="shared" ref="Q67:Q98" si="54">(O67+P67)*0.475*44/12</f>
        <v>312.00264011024768</v>
      </c>
      <c r="R67" s="59">
        <f t="shared" ref="R67:R130" si="55">Q67+(I67+J67)*44/12</f>
        <v>605.335973443581</v>
      </c>
      <c r="S67" s="59">
        <f ca="1">AVERAGE(OFFSET($R$3,0,0,'Données projet'!$E$9+1,1))-AVERAGE(OFFSET($H$3,0,0,'Données projet'!$E$9+1,1))</f>
        <v>233.2883475283553</v>
      </c>
      <c r="T67" s="59">
        <f t="shared" si="34"/>
        <v>211.4485324078031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27.532798049615206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27.532798049615206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8.5500000000000007</v>
      </c>
      <c r="AI67" s="13">
        <f>IF('Données projet'!$A$62&gt;35,AI66+AH67-AQ66,IF(A67&lt;'Données projet'!$A$62,$AF$205^A67,IF(A67='Données projet'!$A$62,'Données projet'!$B$62,AI66+AH67-AQ66)))</f>
        <v>187.21000000000012</v>
      </c>
      <c r="AJ67" s="13">
        <f>AI67*VLOOKUP('Données projet'!$B$10,Paramètres!$A$1:$I$89,3,0)*VLOOKUP('Données projet'!$B$10,Paramètres!$A$1:$I$89,5,0)</f>
        <v>157.70570400000011</v>
      </c>
      <c r="AK67" s="13">
        <f t="shared" si="35"/>
        <v>40.324596350517368</v>
      </c>
      <c r="AL67" s="20">
        <f t="shared" si="4"/>
        <v>344.90277311048459</v>
      </c>
      <c r="AM67" s="59">
        <f t="shared" si="5"/>
        <v>638.2361064438179</v>
      </c>
      <c r="AN67" s="59">
        <f ca="1">AVERAGE(OFFSET($AM$3,0,0,'Données projet'!$E$10+1,1))-AVERAGE(OFFSET($H$3,0,0,'Données projet'!$E$10+1,1))</f>
        <v>206.25389915739601</v>
      </c>
      <c r="AO67" s="59">
        <f t="shared" si="36"/>
        <v>155.24154927193064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11.247544937714354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11.247544937714354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54.755999999999958</v>
      </c>
      <c r="D68" s="11">
        <f t="shared" si="32"/>
        <v>15.83544703724203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544.91643326993824</v>
      </c>
      <c r="H68" s="67">
        <f t="shared" ref="H68:H131" si="56">(B68+E68+F68)*44/12+(C68+D68)*0.475*44/12</f>
        <v>416.28010358986313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7.2875000000000014</v>
      </c>
      <c r="N68" s="13">
        <f>IF('Données projet'!$A$36&gt;35,N67+M68-V67,IF(A68&lt;'Données projet'!$A$36,$K$205^A68,IF(A68='Données projet'!$A$36,'Données projet'!$B$36,N67+M68-V67)))</f>
        <v>164.57500000000002</v>
      </c>
      <c r="O68" s="13">
        <f>N68*VLOOKUP('Données projet'!$B$9,Paramètres!$A$1:$I$89,3,0)*VLOOKUP('Données projet'!$B$9,Paramètres!$A$1:$I$89,5,0)</f>
        <v>148.90746000000001</v>
      </c>
      <c r="P68" s="13">
        <f t="shared" si="33"/>
        <v>38.330196450240862</v>
      </c>
      <c r="Q68" s="20">
        <f t="shared" si="54"/>
        <v>326.10558498416952</v>
      </c>
      <c r="R68" s="59">
        <f t="shared" si="55"/>
        <v>619.43891831750284</v>
      </c>
      <c r="S68" s="59">
        <f ca="1">AVERAGE(OFFSET($R$3,0,0,'Données projet'!$E$9+1,1))-AVERAGE(OFFSET($H$3,0,0,'Données projet'!$E$9+1,1))</f>
        <v>233.2883475283553</v>
      </c>
      <c r="T68" s="59">
        <f t="shared" si="34"/>
        <v>211.4485324078031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26.992896673210858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26.992896673210858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8.5500000000000007</v>
      </c>
      <c r="AI68" s="13">
        <f>IF('Données projet'!$A$62&gt;35,AI67+AH68-AQ67,IF(A68&lt;'Données projet'!$A$62,$AF$205^A68,IF(A68='Données projet'!$A$62,'Données projet'!$B$62,AI67+AH68-AQ67)))</f>
        <v>195.76000000000013</v>
      </c>
      <c r="AJ68" s="13">
        <f>AI68*VLOOKUP('Données projet'!$B$10,Paramètres!$A$1:$I$89,3,0)*VLOOKUP('Données projet'!$B$10,Paramètres!$A$1:$I$89,5,0)</f>
        <v>164.90822400000013</v>
      </c>
      <c r="AK68" s="13">
        <f t="shared" si="35"/>
        <v>41.947624720052197</v>
      </c>
      <c r="AL68" s="20">
        <f t="shared" ref="AL68:AL131" si="58">(AJ68+AK68)*0.475*44/12</f>
        <v>360.27393652075779</v>
      </c>
      <c r="AM68" s="59">
        <f t="shared" ref="AM68:AM131" si="59">AL68+(AD68+AE68)*44/12</f>
        <v>653.6072698540911</v>
      </c>
      <c r="AN68" s="59">
        <f ca="1">AVERAGE(OFFSET($AM$3,0,0,'Données projet'!$E$10+1,1))-AVERAGE(OFFSET($H$3,0,0,'Données projet'!$E$10+1,1))</f>
        <v>206.25389915739601</v>
      </c>
      <c r="AO68" s="59">
        <f t="shared" si="36"/>
        <v>155.24154927193064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11.026987441810787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11.026987441810787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55.598399999999955</v>
      </c>
      <c r="D69" s="11">
        <f t="shared" ref="D69:D132" si="86">IFERROR(EXP(-1.0587+0.8836*LN(C69)+0.284),0)</f>
        <v>16.05052001799563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553.07938259505363</v>
      </c>
      <c r="H69" s="67">
        <f t="shared" si="56"/>
        <v>418.12186903134227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7.2875000000000014</v>
      </c>
      <c r="N69" s="13">
        <f>IF('Données projet'!$A$36&gt;35,N68+M69-V68,IF(A69&lt;'Données projet'!$A$36,$K$205^A69,IF(A69='Données projet'!$A$36,'Données projet'!$B$36,N68+M69-V68)))</f>
        <v>171.86250000000001</v>
      </c>
      <c r="O69" s="13">
        <f>N69*VLOOKUP('Données projet'!$B$9,Paramètres!$A$1:$I$89,3,0)*VLOOKUP('Données projet'!$B$9,Paramètres!$A$1:$I$89,5,0)</f>
        <v>155.50119000000001</v>
      </c>
      <c r="P69" s="13">
        <f t="shared" ref="P69:P132" si="87">EXP(-1.0587+0.8836*LN(O69)+0.284)</f>
        <v>39.826118086313365</v>
      </c>
      <c r="Q69" s="20">
        <f t="shared" si="54"/>
        <v>340.19506158366244</v>
      </c>
      <c r="R69" s="59">
        <f t="shared" si="55"/>
        <v>633.52839491699569</v>
      </c>
      <c r="S69" s="59">
        <f ca="1">AVERAGE(OFFSET($R$3,0,0,'Données projet'!$E$9+1,1))-AVERAGE(OFFSET($H$3,0,0,'Données projet'!$E$9+1,1))</f>
        <v>233.2883475283553</v>
      </c>
      <c r="T69" s="59">
        <f t="shared" ref="T69:T132" si="88">$T$3</f>
        <v>211.4485324078031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26.463582433490476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26.463582433490476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8.5500000000000007</v>
      </c>
      <c r="AI69" s="13">
        <f>IF('Données projet'!$A$62&gt;35,AI68+AH69-AQ68,IF(A69&lt;'Données projet'!$A$62,$AF$205^A69,IF(A69='Données projet'!$A$62,'Données projet'!$B$62,AI68+AH69-AQ68)))</f>
        <v>204.31000000000014</v>
      </c>
      <c r="AJ69" s="13">
        <f>AI69*VLOOKUP('Données projet'!$B$10,Paramètres!$A$1:$I$89,3,0)*VLOOKUP('Données projet'!$B$10,Paramètres!$A$1:$I$89,5,0)</f>
        <v>172.11074400000012</v>
      </c>
      <c r="AK69" s="13">
        <f t="shared" ref="AK69:AK132" si="89">EXP(-1.0587+0.8836*LN(AJ69)+0.284)</f>
        <v>43.562419985615136</v>
      </c>
      <c r="AL69" s="20">
        <f t="shared" si="58"/>
        <v>375.63076060827984</v>
      </c>
      <c r="AM69" s="59">
        <f t="shared" si="59"/>
        <v>668.9640939416131</v>
      </c>
      <c r="AN69" s="59">
        <f ca="1">AVERAGE(OFFSET($AM$3,0,0,'Données projet'!$E$10+1,1))-AVERAGE(OFFSET($H$3,0,0,'Données projet'!$E$10+1,1))</f>
        <v>206.25389915739601</v>
      </c>
      <c r="AO69" s="59">
        <f t="shared" ref="AO69:AO132" si="90">$AO$3</f>
        <v>155.24154927193064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10.8107549438751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10.8107549438751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56.440799999999953</v>
      </c>
      <c r="D70" s="11">
        <f t="shared" si="86"/>
        <v>16.265214007173896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561.23940637116664</v>
      </c>
      <c r="H70" s="67">
        <f t="shared" si="56"/>
        <v>419.96297439582776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7.2875000000000014</v>
      </c>
      <c r="N70" s="13">
        <f>IF('Données projet'!$A$36&gt;35,N69+M70-V69,IF(A70&lt;'Données projet'!$A$36,$K$205^A70,IF(A70='Données projet'!$A$36,'Données projet'!$B$36,N69+M70-V69)))</f>
        <v>179.15</v>
      </c>
      <c r="O70" s="13">
        <f>N70*VLOOKUP('Données projet'!$B$9,Paramètres!$A$1:$I$89,3,0)*VLOOKUP('Données projet'!$B$9,Paramètres!$A$1:$I$89,5,0)</f>
        <v>162.09492</v>
      </c>
      <c r="P70" s="13">
        <f t="shared" si="87"/>
        <v>41.314672133375048</v>
      </c>
      <c r="Q70" s="20">
        <f t="shared" si="54"/>
        <v>354.27170629896153</v>
      </c>
      <c r="R70" s="59">
        <f t="shared" si="55"/>
        <v>647.60503963229485</v>
      </c>
      <c r="S70" s="59">
        <f ca="1">AVERAGE(OFFSET($R$3,0,0,'Données projet'!$E$9+1,1))-AVERAGE(OFFSET($H$3,0,0,'Données projet'!$E$9+1,1))</f>
        <v>233.2883475283553</v>
      </c>
      <c r="T70" s="59">
        <f t="shared" si="88"/>
        <v>211.4485324078031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25.944647723161204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25.944647723161204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212.86</v>
      </c>
      <c r="AG70" s="12">
        <f>VLOOKUP(A70,'Données projet'!$A$61:$I$81,9,0)</f>
        <v>8.5500000000000007</v>
      </c>
      <c r="AH70" s="12">
        <f t="array" ref="AH70">INDEX(AG:AG,MIN(IF(ISNUMBER(AG70:AG266),ROW(AG70:AG266),"")))</f>
        <v>8.5500000000000007</v>
      </c>
      <c r="AI70" s="13">
        <f>IF('Données projet'!$A$62&gt;35,AI69+AH70-AQ69,IF(A70&lt;'Données projet'!$A$62,$AF$205^A70,IF(A70='Données projet'!$A$62,'Données projet'!$B$62,AI69+AH70-AQ69)))</f>
        <v>212.86000000000016</v>
      </c>
      <c r="AJ70" s="13">
        <f>AI70*VLOOKUP('Données projet'!$B$10,Paramètres!$A$1:$I$89,3,0)*VLOOKUP('Données projet'!$B$10,Paramètres!$A$1:$I$89,5,0)</f>
        <v>179.31326400000015</v>
      </c>
      <c r="AK70" s="13">
        <f t="shared" si="89"/>
        <v>45.169366085324434</v>
      </c>
      <c r="AL70" s="20">
        <f t="shared" si="58"/>
        <v>390.97391406527368</v>
      </c>
      <c r="AM70" s="59">
        <f t="shared" si="59"/>
        <v>684.30724739860693</v>
      </c>
      <c r="AN70" s="59">
        <f ca="1">AVERAGE(OFFSET($AM$3,0,0,'Données projet'!$E$10+1,1))-AVERAGE(OFFSET($H$3,0,0,'Données projet'!$E$10+1,1))</f>
        <v>206.25389915739601</v>
      </c>
      <c r="AO70" s="59">
        <f t="shared" si="90"/>
        <v>155.24154927193064</v>
      </c>
      <c r="AP70" s="15">
        <f>IF(ISNA(VLOOKUP(A70,'Données projet'!$A$61:$I$81,3,0)),0,VLOOKUP(A70,'Données projet'!$A$61:$I$81,3,0))</f>
        <v>5</v>
      </c>
      <c r="AQ70" s="15">
        <f>IF(ISNA(VLOOKUP(A70,'Données projet'!$A$61:$I$81,4,0)),0,VLOOKUP(A70,'Données projet'!$A$61:$I$81,4,0))</f>
        <v>38.229999999999997</v>
      </c>
      <c r="AR70" s="16">
        <f>IF(ISNA(VLOOKUP(A70,'Données projet'!$A$61:$I$81,5,0)),0%,VLOOKUP(A70,'Données projet'!$A$61:$I$81,5,0)*VLOOKUP('Données projet'!$B$10,Paramètres!$A$1:$I$89,7,0))</f>
        <v>0.25800000000000001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19.783980724987487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19.783980724987487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57.283199999999951</v>
      </c>
      <c r="D71" s="11">
        <f t="shared" si="86"/>
        <v>16.479535314783966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569.396553307104</v>
      </c>
      <c r="H71" s="67">
        <f t="shared" si="56"/>
        <v>421.80343067324861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7.2875000000000014</v>
      </c>
      <c r="N71" s="13">
        <f>IF('Données projet'!$A$36&gt;35,N70+M71-V70,IF(A71&lt;'Données projet'!$A$36,$K$205^A71,IF(A71='Données projet'!$A$36,'Données projet'!$B$36,N70+M71-V70)))</f>
        <v>186.4375</v>
      </c>
      <c r="O71" s="13">
        <f>N71*VLOOKUP('Données projet'!$B$9,Paramètres!$A$1:$I$89,3,0)*VLOOKUP('Données projet'!$B$9,Paramètres!$A$1:$I$89,5,0)</f>
        <v>168.68865</v>
      </c>
      <c r="P71" s="13">
        <f t="shared" si="87"/>
        <v>42.796192573709412</v>
      </c>
      <c r="Q71" s="20">
        <f t="shared" si="54"/>
        <v>368.33610081587722</v>
      </c>
      <c r="R71" s="59">
        <f t="shared" si="55"/>
        <v>661.66943414921047</v>
      </c>
      <c r="S71" s="59">
        <f ca="1">AVERAGE(OFFSET($R$3,0,0,'Données projet'!$E$9+1,1))-AVERAGE(OFFSET($H$3,0,0,'Données projet'!$E$9+1,1))</f>
        <v>233.2883475283553</v>
      </c>
      <c r="T71" s="59">
        <f t="shared" si="88"/>
        <v>211.4485324078031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25.435889005982567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25.435889005982567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8.4087499999999977</v>
      </c>
      <c r="AI71" s="13">
        <f>IF('Données projet'!$A$62&gt;35,AI70+AH71-AQ70,IF(A71&lt;'Données projet'!$A$62,$AF$205^A71,IF(A71='Données projet'!$A$62,'Données projet'!$B$62,AI70+AH71-AQ70)))</f>
        <v>183.03875000000016</v>
      </c>
      <c r="AJ71" s="13">
        <f>AI71*VLOOKUP('Données projet'!$B$10,Paramètres!$A$1:$I$89,3,0)*VLOOKUP('Données projet'!$B$10,Paramètres!$A$1:$I$89,5,0)</f>
        <v>154.19184300000015</v>
      </c>
      <c r="AK71" s="13">
        <f t="shared" si="89"/>
        <v>39.529663502319345</v>
      </c>
      <c r="AL71" s="20">
        <f t="shared" si="58"/>
        <v>337.3982904915398</v>
      </c>
      <c r="AM71" s="59">
        <f t="shared" si="59"/>
        <v>630.73162382487317</v>
      </c>
      <c r="AN71" s="59">
        <f ca="1">AVERAGE(OFFSET($AM$3,0,0,'Données projet'!$E$10+1,1))-AVERAGE(OFFSET($H$3,0,0,'Données projet'!$E$10+1,1))</f>
        <v>206.25389915739601</v>
      </c>
      <c r="AO71" s="59">
        <f t="shared" si="90"/>
        <v>155.24154927193064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19.396028930007205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19.396028930007205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58.125599999999949</v>
      </c>
      <c r="D72" s="11">
        <f t="shared" si="86"/>
        <v>16.693490054590146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577.55087059683581</v>
      </c>
      <c r="H72" s="67">
        <f t="shared" si="56"/>
        <v>423.64324851174439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7.2875000000000014</v>
      </c>
      <c r="N72" s="13">
        <f>IF('Données projet'!$A$36&gt;35,N71+M72-V71,IF(A72&lt;'Données projet'!$A$36,$K$205^A72,IF(A72='Données projet'!$A$36,'Données projet'!$B$36,N71+M72-V71)))</f>
        <v>193.72499999999999</v>
      </c>
      <c r="O72" s="13">
        <f>N72*VLOOKUP('Données projet'!$B$9,Paramètres!$A$1:$I$89,3,0)*VLOOKUP('Données projet'!$B$9,Paramètres!$A$1:$I$89,5,0)</f>
        <v>175.28237999999999</v>
      </c>
      <c r="P72" s="13">
        <f t="shared" si="87"/>
        <v>44.270985801782679</v>
      </c>
      <c r="Q72" s="20">
        <f t="shared" si="54"/>
        <v>382.38877877143813</v>
      </c>
      <c r="R72" s="59">
        <f t="shared" si="55"/>
        <v>675.72211210477144</v>
      </c>
      <c r="S72" s="59">
        <f ca="1">AVERAGE(OFFSET($R$3,0,0,'Données projet'!$E$9+1,1))-AVERAGE(OFFSET($H$3,0,0,'Données projet'!$E$9+1,1))</f>
        <v>233.2883475283553</v>
      </c>
      <c r="T72" s="59">
        <f t="shared" si="88"/>
        <v>211.4485324078031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24.937106736935625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24.937106736935625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8.4087499999999977</v>
      </c>
      <c r="AI72" s="13">
        <f>IF('Données projet'!$A$62&gt;35,AI71+AH72-AQ71,IF(A72&lt;'Données projet'!$A$62,$AF$205^A72,IF(A72='Données projet'!$A$62,'Données projet'!$B$62,AI71+AH72-AQ71)))</f>
        <v>191.44750000000016</v>
      </c>
      <c r="AJ72" s="13">
        <f>AI72*VLOOKUP('Données projet'!$B$10,Paramètres!$A$1:$I$89,3,0)*VLOOKUP('Données projet'!$B$10,Paramètres!$A$1:$I$89,5,0)</f>
        <v>161.27537400000014</v>
      </c>
      <c r="AK72" s="13">
        <f t="shared" si="89"/>
        <v>41.130046514208587</v>
      </c>
      <c r="AL72" s="20">
        <f t="shared" si="58"/>
        <v>352.52277406224692</v>
      </c>
      <c r="AM72" s="59">
        <f t="shared" si="59"/>
        <v>645.85610739558024</v>
      </c>
      <c r="AN72" s="59">
        <f ca="1">AVERAGE(OFFSET($AM$3,0,0,'Données projet'!$E$10+1,1))-AVERAGE(OFFSET($H$3,0,0,'Données projet'!$E$10+1,1))</f>
        <v>206.25389915739601</v>
      </c>
      <c r="AO72" s="59">
        <f t="shared" si="90"/>
        <v>155.24154927193064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19.015684633099255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19.015684633099255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73" s="11">
        <f t="shared" si="86"/>
        <v>16.907084152971102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585.70240398784688</v>
      </c>
      <c r="H73" s="67">
        <f t="shared" si="56"/>
        <v>425.48243823309122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7.2875000000000014</v>
      </c>
      <c r="N73" s="13">
        <f>IF('Données projet'!$A$36&gt;35,N72+M73-V72,IF(A73&lt;'Données projet'!$A$36,$K$205^A73,IF(A73='Données projet'!$A$36,'Données projet'!$B$36,N72+M73-V72)))</f>
        <v>201.01249999999999</v>
      </c>
      <c r="O73" s="13">
        <f>N73*VLOOKUP('Données projet'!$B$9,Paramètres!$A$1:$I$89,3,0)*VLOOKUP('Données projet'!$B$9,Paramètres!$A$1:$I$89,5,0)</f>
        <v>181.87610999999998</v>
      </c>
      <c r="P73" s="13">
        <f t="shared" si="87"/>
        <v>45.739333854484087</v>
      </c>
      <c r="Q73" s="20">
        <f t="shared" si="54"/>
        <v>396.43023137989303</v>
      </c>
      <c r="R73" s="59">
        <f t="shared" si="55"/>
        <v>689.76356471322629</v>
      </c>
      <c r="S73" s="59">
        <f ca="1">AVERAGE(OFFSET($R$3,0,0,'Données projet'!$E$9+1,1))-AVERAGE(OFFSET($H$3,0,0,'Données projet'!$E$9+1,1))</f>
        <v>233.2883475283553</v>
      </c>
      <c r="T73" s="59">
        <f t="shared" si="88"/>
        <v>211.4485324078031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24.448105283957553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24.448105283957553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8.4087499999999977</v>
      </c>
      <c r="AI73" s="13">
        <f>IF('Données projet'!$A$62&gt;35,AI72+AH73-AQ72,IF(A73&lt;'Données projet'!$A$62,$AF$205^A73,IF(A73='Données projet'!$A$62,'Données projet'!$B$62,AI72+AH73-AQ72)))</f>
        <v>199.85625000000016</v>
      </c>
      <c r="AJ73" s="13">
        <f>AI73*VLOOKUP('Données projet'!$B$10,Paramètres!$A$1:$I$89,3,0)*VLOOKUP('Données projet'!$B$10,Paramètres!$A$1:$I$89,5,0)</f>
        <v>168.35890500000014</v>
      </c>
      <c r="AK73" s="13">
        <f t="shared" si="89"/>
        <v>42.722265649387637</v>
      </c>
      <c r="AL73" s="20">
        <f t="shared" si="58"/>
        <v>367.633038881017</v>
      </c>
      <c r="AM73" s="59">
        <f t="shared" si="59"/>
        <v>660.96637221435026</v>
      </c>
      <c r="AN73" s="59">
        <f ca="1">AVERAGE(OFFSET($AM$3,0,0,'Données projet'!$E$10+1,1))-AVERAGE(OFFSET($H$3,0,0,'Données projet'!$E$10+1,1))</f>
        <v>206.25389915739601</v>
      </c>
      <c r="AO73" s="59">
        <f t="shared" si="90"/>
        <v>155.24154927193064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18.642798655866557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18.642798655866557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59.810399999999944</v>
      </c>
      <c r="D74" s="11">
        <f t="shared" si="86"/>
        <v>17.120323357256371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593.85119784548738</v>
      </c>
      <c r="H74" s="67">
        <f t="shared" si="56"/>
        <v>427.32100984722138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208.3</v>
      </c>
      <c r="L74" s="12">
        <f>VLOOKUP(A74,'Données projet'!$A$35:$I$55,9,0)</f>
        <v>7.2875000000000014</v>
      </c>
      <c r="M74" s="12">
        <f t="array" ref="M74">INDEX(L:L,MIN(IF(ISNUMBER(L74:L270),ROW(L74:L270),"")))</f>
        <v>7.2875000000000014</v>
      </c>
      <c r="N74" s="13">
        <f>IF('Données projet'!$A$36&gt;35,N73+M74-V73,IF(A74&lt;'Données projet'!$A$36,$K$205^A74,IF(A74='Données projet'!$A$36,'Données projet'!$B$36,N73+M74-V73)))</f>
        <v>208.29999999999998</v>
      </c>
      <c r="O74" s="13">
        <f>N74*VLOOKUP('Données projet'!$B$9,Paramètres!$A$1:$I$89,3,0)*VLOOKUP('Données projet'!$B$9,Paramètres!$A$1:$I$89,5,0)</f>
        <v>188.46983999999998</v>
      </c>
      <c r="P74" s="13">
        <f t="shared" si="87"/>
        <v>47.201497159765204</v>
      </c>
      <c r="Q74" s="20">
        <f t="shared" si="54"/>
        <v>410.46091221992441</v>
      </c>
      <c r="R74" s="59">
        <f t="shared" si="55"/>
        <v>703.79424555325772</v>
      </c>
      <c r="S74" s="59">
        <f ca="1">AVERAGE(OFFSET($R$3,0,0,'Données projet'!$E$9+1,1))-AVERAGE(OFFSET($H$3,0,0,'Données projet'!$E$9+1,1))</f>
        <v>233.2883475283553</v>
      </c>
      <c r="T74" s="59">
        <f t="shared" si="88"/>
        <v>211.4485324078031</v>
      </c>
      <c r="U74" s="15">
        <f>IF(ISNA(VLOOKUP(A74,'Données projet'!$A$35:$I$55,3,0)),0,VLOOKUP(A74,'Données projet'!$A$35:$I$55,3,0))</f>
        <v>5</v>
      </c>
      <c r="V74" s="15">
        <f>IF(ISNA(VLOOKUP(A74,'Données projet'!$A$35:$I$55,4,0)),0,VLOOKUP(A74,'Données projet'!$A$35:$I$55,4,0))</f>
        <v>41.9</v>
      </c>
      <c r="W74" s="16">
        <f>IF(ISNA(VLOOKUP(A74,'Données projet'!$A$35:$I$55,5,0)),0%,VLOOKUP(A74,'Données projet'!$A$35:$I$55,5,0)*VLOOKUP('Données projet'!$B$9,Paramètres!$A$1:$I$89,7,0))</f>
        <v>0.25800000000000001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34.781374866660101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34.781374866660101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8.4087499999999977</v>
      </c>
      <c r="AI74" s="13">
        <f>IF('Données projet'!$A$62&gt;35,AI73+AH74-AQ73,IF(A74&lt;'Données projet'!$A$62,$AF$205^A74,IF(A74='Données projet'!$A$62,'Données projet'!$B$62,AI73+AH74-AQ73)))</f>
        <v>208.26500000000016</v>
      </c>
      <c r="AJ74" s="13">
        <f>AI74*VLOOKUP('Données projet'!$B$10,Paramètres!$A$1:$I$89,3,0)*VLOOKUP('Données projet'!$B$10,Paramètres!$A$1:$I$89,5,0)</f>
        <v>175.44243600000016</v>
      </c>
      <c r="AK74" s="13">
        <f t="shared" si="89"/>
        <v>44.306703669500294</v>
      </c>
      <c r="AL74" s="20">
        <f t="shared" si="58"/>
        <v>382.72975159104658</v>
      </c>
      <c r="AM74" s="59">
        <f t="shared" si="59"/>
        <v>676.06308492437984</v>
      </c>
      <c r="AN74" s="59">
        <f ca="1">AVERAGE(OFFSET($AM$3,0,0,'Données projet'!$E$10+1,1))-AVERAGE(OFFSET($H$3,0,0,'Données projet'!$E$10+1,1))</f>
        <v>206.25389915739601</v>
      </c>
      <c r="AO74" s="59">
        <f t="shared" si="90"/>
        <v>155.24154927193064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18.277224745209402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18.277224745209402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60.652799999999942</v>
      </c>
      <c r="D75" s="11">
        <f t="shared" si="86"/>
        <v>17.333213243579955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601.99729521359916</v>
      </c>
      <c r="H75" s="67">
        <f t="shared" si="56"/>
        <v>429.15897306590159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6.8674999999999997</v>
      </c>
      <c r="N75" s="13">
        <f>IF('Données projet'!$A$36&gt;35,N74+M75-V74,IF(A75&lt;'Données projet'!$A$36,$K$205^A75,IF(A75='Données projet'!$A$36,'Données projet'!$B$36,N74+M75-V74)))</f>
        <v>173.26749999999998</v>
      </c>
      <c r="O75" s="13">
        <f>N75*VLOOKUP('Données projet'!$B$9,Paramètres!$A$1:$I$89,3,0)*VLOOKUP('Données projet'!$B$9,Paramètres!$A$1:$I$89,5,0)</f>
        <v>156.77243399999998</v>
      </c>
      <c r="P75" s="13">
        <f t="shared" si="87"/>
        <v>40.113667725040358</v>
      </c>
      <c r="Q75" s="20">
        <f t="shared" si="54"/>
        <v>342.90996050444522</v>
      </c>
      <c r="R75" s="59">
        <f t="shared" si="55"/>
        <v>636.24329383777854</v>
      </c>
      <c r="S75" s="59">
        <f ca="1">AVERAGE(OFFSET($R$3,0,0,'Données projet'!$E$9+1,1))-AVERAGE(OFFSET($H$3,0,0,'Données projet'!$E$9+1,1))</f>
        <v>233.2883475283553</v>
      </c>
      <c r="T75" s="59">
        <f t="shared" si="88"/>
        <v>211.4485324078031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34.099333320068801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34.099333320068801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8.4087499999999977</v>
      </c>
      <c r="AI75" s="13">
        <f>IF('Données projet'!$A$62&gt;35,AI74+AH75-AQ74,IF(A75&lt;'Données projet'!$A$62,$AF$205^A75,IF(A75='Données projet'!$A$62,'Données projet'!$B$62,AI74+AH75-AQ74)))</f>
        <v>216.67375000000015</v>
      </c>
      <c r="AJ75" s="13">
        <f>AI75*VLOOKUP('Données projet'!$B$10,Paramètres!$A$1:$I$89,3,0)*VLOOKUP('Données projet'!$B$10,Paramètres!$A$1:$I$89,5,0)</f>
        <v>182.52596700000015</v>
      </c>
      <c r="AK75" s="13">
        <f t="shared" si="89"/>
        <v>45.883710678698044</v>
      </c>
      <c r="AL75" s="20">
        <f t="shared" si="58"/>
        <v>397.81352195706603</v>
      </c>
      <c r="AM75" s="59">
        <f t="shared" si="59"/>
        <v>691.14685529039934</v>
      </c>
      <c r="AN75" s="59">
        <f ca="1">AVERAGE(OFFSET($AM$3,0,0,'Données projet'!$E$10+1,1))-AVERAGE(OFFSET($H$3,0,0,'Données projet'!$E$10+1,1))</f>
        <v>206.25389915739601</v>
      </c>
      <c r="AO75" s="59">
        <f t="shared" si="90"/>
        <v>155.24154927193064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17.918819515962166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17.918819515962166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61.49519999999994</v>
      </c>
      <c r="D76" s="11">
        <f t="shared" si="86"/>
        <v>17.545759224285252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610.14073787167513</v>
      </c>
      <c r="H76" s="67">
        <f t="shared" si="56"/>
        <v>430.99633731563006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6.8674999999999997</v>
      </c>
      <c r="N76" s="13">
        <f>IF('Données projet'!$A$36&gt;35,N75+M76-V75,IF(A76&lt;'Données projet'!$A$36,$K$205^A76,IF(A76='Données projet'!$A$36,'Données projet'!$B$36,N75+M76-V75)))</f>
        <v>180.13499999999999</v>
      </c>
      <c r="O76" s="13">
        <f>N76*VLOOKUP('Données projet'!$B$9,Paramètres!$A$1:$I$89,3,0)*VLOOKUP('Données projet'!$B$9,Paramètres!$A$1:$I$89,5,0)</f>
        <v>162.98614799999999</v>
      </c>
      <c r="P76" s="13">
        <f t="shared" si="87"/>
        <v>41.515322854718576</v>
      </c>
      <c r="Q76" s="20">
        <f t="shared" si="54"/>
        <v>356.17339507196812</v>
      </c>
      <c r="R76" s="59">
        <f t="shared" si="55"/>
        <v>649.50672840530137</v>
      </c>
      <c r="S76" s="59">
        <f ca="1">AVERAGE(OFFSET($R$3,0,0,'Données projet'!$E$9+1,1))-AVERAGE(OFFSET($H$3,0,0,'Données projet'!$E$9+1,1))</f>
        <v>233.2883475283553</v>
      </c>
      <c r="T76" s="59">
        <f t="shared" si="88"/>
        <v>211.4485324078031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33.43066619220189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33.43066619220189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8.4087499999999977</v>
      </c>
      <c r="AI76" s="13">
        <f>IF('Données projet'!$A$62&gt;35,AI75+AH76-AQ75,IF(A76&lt;'Données projet'!$A$62,$AF$205^A76,IF(A76='Données projet'!$A$62,'Données projet'!$B$62,AI75+AH76-AQ75)))</f>
        <v>225.08250000000015</v>
      </c>
      <c r="AJ76" s="13">
        <f>AI76*VLOOKUP('Données projet'!$B$10,Paramètres!$A$1:$I$89,3,0)*VLOOKUP('Données projet'!$B$10,Paramètres!$A$1:$I$89,5,0)</f>
        <v>189.60949800000014</v>
      </c>
      <c r="AK76" s="13">
        <f t="shared" si="89"/>
        <v>47.453608068490468</v>
      </c>
      <c r="AL76" s="20">
        <f t="shared" si="58"/>
        <v>412.88490973595452</v>
      </c>
      <c r="AM76" s="59">
        <f t="shared" si="59"/>
        <v>706.21824306928784</v>
      </c>
      <c r="AN76" s="59">
        <f ca="1">AVERAGE(OFFSET($AM$3,0,0,'Données projet'!$E$10+1,1))-AVERAGE(OFFSET($H$3,0,0,'Données projet'!$E$10+1,1))</f>
        <v>206.25389915739601</v>
      </c>
      <c r="AO76" s="59">
        <f t="shared" si="90"/>
        <v>155.24154927193064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17.567442394654865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17.567442394654865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62.337599999999938</v>
      </c>
      <c r="D77" s="11">
        <f t="shared" si="86"/>
        <v>17.757966554912581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618.28156638879841</v>
      </c>
      <c r="H77" s="67">
        <f t="shared" si="56"/>
        <v>432.83311174980599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6.8674999999999997</v>
      </c>
      <c r="N77" s="13">
        <f>IF('Données projet'!$A$36&gt;35,N76+M77-V76,IF(A77&lt;'Données projet'!$A$36,$K$205^A77,IF(A77='Données projet'!$A$36,'Données projet'!$B$36,N76+M77-V76)))</f>
        <v>187.0025</v>
      </c>
      <c r="O77" s="13">
        <f>N77*VLOOKUP('Données projet'!$B$9,Paramètres!$A$1:$I$89,3,0)*VLOOKUP('Données projet'!$B$9,Paramètres!$A$1:$I$89,5,0)</f>
        <v>169.199862</v>
      </c>
      <c r="P77" s="13">
        <f t="shared" si="87"/>
        <v>42.910770114864498</v>
      </c>
      <c r="Q77" s="20">
        <f t="shared" si="54"/>
        <v>369.42601760005567</v>
      </c>
      <c r="R77" s="59">
        <f t="shared" si="55"/>
        <v>662.75935093338899</v>
      </c>
      <c r="S77" s="59">
        <f ca="1">AVERAGE(OFFSET($R$3,0,0,'Données projet'!$E$9+1,1))-AVERAGE(OFFSET($H$3,0,0,'Données projet'!$E$9+1,1))</f>
        <v>233.2883475283553</v>
      </c>
      <c r="T77" s="59">
        <f t="shared" si="88"/>
        <v>211.4485324078031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32.775111218865774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32.775111218865774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8.4087499999999977</v>
      </c>
      <c r="AI77" s="13">
        <f>IF('Données projet'!$A$62&gt;35,AI76+AH77-AQ76,IF(A77&lt;'Données projet'!$A$62,$AF$205^A77,IF(A77='Données projet'!$A$62,'Données projet'!$B$62,AI76+AH77-AQ76)))</f>
        <v>233.49125000000015</v>
      </c>
      <c r="AJ77" s="13">
        <f>AI77*VLOOKUP('Données projet'!$B$10,Paramètres!$A$1:$I$89,3,0)*VLOOKUP('Données projet'!$B$10,Paramètres!$A$1:$I$89,5,0)</f>
        <v>196.69302900000017</v>
      </c>
      <c r="AK77" s="13">
        <f t="shared" si="89"/>
        <v>49.016691856527288</v>
      </c>
      <c r="AL77" s="20">
        <f t="shared" si="58"/>
        <v>427.94443049178523</v>
      </c>
      <c r="AM77" s="59">
        <f t="shared" si="59"/>
        <v>721.27776382511854</v>
      </c>
      <c r="AN77" s="59">
        <f ca="1">AVERAGE(OFFSET($AM$3,0,0,'Données projet'!$E$10+1,1))-AVERAGE(OFFSET($H$3,0,0,'Données projet'!$E$10+1,1))</f>
        <v>206.25389915739601</v>
      </c>
      <c r="AO77" s="59">
        <f t="shared" si="90"/>
        <v>155.24154927193064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17.222955564377518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17.222955564377518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63.179999999999936</v>
      </c>
      <c r="D78" s="11">
        <f t="shared" si="86"/>
        <v>17.96984034079836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626.41982017458338</v>
      </c>
      <c r="H78" s="67">
        <f t="shared" si="56"/>
        <v>434.66930526022367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6.8674999999999997</v>
      </c>
      <c r="N78" s="13">
        <f>IF('Données projet'!$A$36&gt;35,N77+M78-V77,IF(A78&lt;'Données projet'!$A$36,$K$205^A78,IF(A78='Données projet'!$A$36,'Données projet'!$B$36,N77+M78-V77)))</f>
        <v>193.87</v>
      </c>
      <c r="O78" s="13">
        <f>N78*VLOOKUP('Données projet'!$B$9,Paramètres!$A$1:$I$89,3,0)*VLOOKUP('Données projet'!$B$9,Paramètres!$A$1:$I$89,5,0)</f>
        <v>175.41357600000001</v>
      </c>
      <c r="P78" s="13">
        <f t="shared" si="87"/>
        <v>44.300263593630142</v>
      </c>
      <c r="Q78" s="20">
        <f t="shared" si="54"/>
        <v>382.66827062557246</v>
      </c>
      <c r="R78" s="59">
        <f t="shared" si="55"/>
        <v>676.00160395890578</v>
      </c>
      <c r="S78" s="59">
        <f ca="1">AVERAGE(OFFSET($R$3,0,0,'Données projet'!$E$9+1,1))-AVERAGE(OFFSET($H$3,0,0,'Données projet'!$E$9+1,1))</f>
        <v>233.2883475283553</v>
      </c>
      <c r="T78" s="59">
        <f t="shared" si="88"/>
        <v>211.4485324078031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32.132411278707728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32.132411278707728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241.9</v>
      </c>
      <c r="AG78" s="12">
        <f>VLOOKUP(A78,'Données projet'!$A$61:$I$81,9,0)</f>
        <v>8.4087499999999977</v>
      </c>
      <c r="AH78" s="12">
        <f t="array" ref="AH78">INDEX(AG:AG,MIN(IF(ISNUMBER(AG78:AG274),ROW(AG78:AG274),"")))</f>
        <v>8.4087499999999977</v>
      </c>
      <c r="AI78" s="13">
        <f>IF('Données projet'!$A$62&gt;35,AI77+AH78-AQ77,IF(A78&lt;'Données projet'!$A$62,$AF$205^A78,IF(A78='Données projet'!$A$62,'Données projet'!$B$62,AI77+AH78-AQ77)))</f>
        <v>241.90000000000015</v>
      </c>
      <c r="AJ78" s="13">
        <f>AI78*VLOOKUP('Données projet'!$B$10,Paramètres!$A$1:$I$89,3,0)*VLOOKUP('Données projet'!$B$10,Paramètres!$A$1:$I$89,5,0)</f>
        <v>203.77656000000016</v>
      </c>
      <c r="AK78" s="13">
        <f t="shared" si="89"/>
        <v>50.573235530903794</v>
      </c>
      <c r="AL78" s="20">
        <f t="shared" si="58"/>
        <v>442.99256054965764</v>
      </c>
      <c r="AM78" s="59">
        <f t="shared" si="59"/>
        <v>736.32589388299095</v>
      </c>
      <c r="AN78" s="59">
        <f ca="1">AVERAGE(OFFSET($AM$3,0,0,'Données projet'!$E$10+1,1))-AVERAGE(OFFSET($H$3,0,0,'Données projet'!$E$10+1,1))</f>
        <v>206.25389915739601</v>
      </c>
      <c r="AO78" s="59">
        <f t="shared" si="90"/>
        <v>155.24154927193064</v>
      </c>
      <c r="AP78" s="15">
        <f>IF(ISNA(VLOOKUP(A78,'Données projet'!$A$61:$I$81,3,0)),0,VLOOKUP(A78,'Données projet'!$A$61:$I$81,3,0))</f>
        <v>6</v>
      </c>
      <c r="AQ78" s="15">
        <f>IF(ISNA(VLOOKUP(A78,'Données projet'!$A$61:$I$81,4,0)),0,VLOOKUP(A78,'Données projet'!$A$61:$I$81,4,0))</f>
        <v>38.909999999999997</v>
      </c>
      <c r="AR78" s="16">
        <f>IF(ISNA(VLOOKUP(A78,'Données projet'!$A$61:$I$81,5,0)),0%,VLOOKUP(A78,'Données projet'!$A$61:$I$81,5,0)*VLOOKUP('Données projet'!$B$10,Paramètres!$A$1:$I$89,7,0))</f>
        <v>0.25800000000000001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26.233820194957786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26.233820194957786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64.022399999999934</v>
      </c>
      <c r="D79" s="11">
        <f t="shared" si="86"/>
        <v>18.181385543312224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634.55553752732203</v>
      </c>
      <c r="H79" s="67">
        <f t="shared" si="56"/>
        <v>436.50492648793534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6.8674999999999997</v>
      </c>
      <c r="N79" s="13">
        <f>IF('Données projet'!$A$36&gt;35,N78+M79-V78,IF(A79&lt;'Données projet'!$A$36,$K$205^A79,IF(A79='Données projet'!$A$36,'Données projet'!$B$36,N78+M79-V78)))</f>
        <v>200.73750000000001</v>
      </c>
      <c r="O79" s="13">
        <f>N79*VLOOKUP('Données projet'!$B$9,Paramètres!$A$1:$I$89,3,0)*VLOOKUP('Données projet'!$B$9,Paramètres!$A$1:$I$89,5,0)</f>
        <v>181.62729000000002</v>
      </c>
      <c r="P79" s="13">
        <f t="shared" si="87"/>
        <v>45.684038357347902</v>
      </c>
      <c r="Q79" s="20">
        <f t="shared" si="54"/>
        <v>395.90056355571431</v>
      </c>
      <c r="R79" s="59">
        <f t="shared" si="55"/>
        <v>689.23389688904763</v>
      </c>
      <c r="S79" s="59">
        <f ca="1">AVERAGE(OFFSET($R$3,0,0,'Données projet'!$E$9+1,1))-AVERAGE(OFFSET($H$3,0,0,'Données projet'!$E$9+1,1))</f>
        <v>233.2883475283553</v>
      </c>
      <c r="T79" s="59">
        <f t="shared" si="88"/>
        <v>211.4485324078031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31.502314292367924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31.502314292367924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8.2100000000000009</v>
      </c>
      <c r="AI79" s="13">
        <f>IF('Données projet'!$A$62&gt;35,AI78+AH79-AQ78,IF(A79&lt;'Données projet'!$A$62,$AF$205^A79,IF(A79='Données projet'!$A$62,'Données projet'!$B$62,AI78+AH79-AQ78)))</f>
        <v>211.20000000000016</v>
      </c>
      <c r="AJ79" s="13">
        <f>AI79*VLOOKUP('Données projet'!$B$10,Paramètres!$A$1:$I$89,3,0)*VLOOKUP('Données projet'!$B$10,Paramètres!$A$1:$I$89,5,0)</f>
        <v>177.91488000000015</v>
      </c>
      <c r="AK79" s="13">
        <f t="shared" si="89"/>
        <v>44.857971269354906</v>
      </c>
      <c r="AL79" s="20">
        <f t="shared" si="58"/>
        <v>387.99604929412675</v>
      </c>
      <c r="AM79" s="59">
        <f t="shared" si="59"/>
        <v>681.32938262746006</v>
      </c>
      <c r="AN79" s="59">
        <f ca="1">AVERAGE(OFFSET($AM$3,0,0,'Données projet'!$E$10+1,1))-AVERAGE(OFFSET($H$3,0,0,'Données projet'!$E$10+1,1))</f>
        <v>206.25389915739601</v>
      </c>
      <c r="AO79" s="59">
        <f t="shared" si="90"/>
        <v>155.24154927193064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25.719390981985011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25.719390981985011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64.864799999999931</v>
      </c>
      <c r="D80" s="11">
        <f t="shared" si="86"/>
        <v>18.392606985756601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642.68875567952421</v>
      </c>
      <c r="H80" s="67">
        <f t="shared" si="56"/>
        <v>438.33998383352593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6.8674999999999997</v>
      </c>
      <c r="N80" s="13">
        <f>IF('Données projet'!$A$36&gt;35,N79+M80-V79,IF(A80&lt;'Données projet'!$A$36,$K$205^A80,IF(A80='Données projet'!$A$36,'Données projet'!$B$36,N79+M80-V79)))</f>
        <v>207.60500000000002</v>
      </c>
      <c r="O80" s="13">
        <f>N80*VLOOKUP('Données projet'!$B$9,Paramètres!$A$1:$I$89,3,0)*VLOOKUP('Données projet'!$B$9,Paramètres!$A$1:$I$89,5,0)</f>
        <v>187.841004</v>
      </c>
      <c r="P80" s="13">
        <f t="shared" si="87"/>
        <v>47.062312476150474</v>
      </c>
      <c r="Q80" s="20">
        <f t="shared" si="54"/>
        <v>409.12327619596209</v>
      </c>
      <c r="R80" s="59">
        <f t="shared" si="55"/>
        <v>702.45660952929541</v>
      </c>
      <c r="S80" s="59">
        <f ca="1">AVERAGE(OFFSET($R$3,0,0,'Données projet'!$E$9+1,1))-AVERAGE(OFFSET($H$3,0,0,'Données projet'!$E$9+1,1))</f>
        <v>233.2883475283553</v>
      </c>
      <c r="T80" s="59">
        <f t="shared" si="88"/>
        <v>211.4485324078031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30.88457312360903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30.88457312360903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8.2100000000000009</v>
      </c>
      <c r="AI80" s="13">
        <f>IF('Données projet'!$A$62&gt;35,AI79+AH80-AQ79,IF(A80&lt;'Données projet'!$A$62,$AF$205^A80,IF(A80='Données projet'!$A$62,'Données projet'!$B$62,AI79+AH80-AQ79)))</f>
        <v>219.41000000000017</v>
      </c>
      <c r="AJ80" s="13">
        <f>AI80*VLOOKUP('Données projet'!$B$10,Paramètres!$A$1:$I$89,3,0)*VLOOKUP('Données projet'!$B$10,Paramètres!$A$1:$I$89,5,0)</f>
        <v>184.83098400000014</v>
      </c>
      <c r="AK80" s="13">
        <f t="shared" si="89"/>
        <v>46.395328769790581</v>
      </c>
      <c r="AL80" s="20">
        <f t="shared" si="58"/>
        <v>402.71916140738546</v>
      </c>
      <c r="AM80" s="59">
        <f t="shared" si="59"/>
        <v>696.05249474071877</v>
      </c>
      <c r="AN80" s="59">
        <f ca="1">AVERAGE(OFFSET($AM$3,0,0,'Données projet'!$E$10+1,1))-AVERAGE(OFFSET($H$3,0,0,'Données projet'!$E$10+1,1))</f>
        <v>206.25389915739601</v>
      </c>
      <c r="AO80" s="59">
        <f t="shared" si="90"/>
        <v>155.24154927193064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25.215049412107795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25.215049412107795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65.707199999999929</v>
      </c>
      <c r="D81" s="11">
        <f t="shared" si="86"/>
        <v>18.603509358951104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650.81951084102559</v>
      </c>
      <c r="H81" s="67">
        <f t="shared" si="56"/>
        <v>440.17448546683966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6.8674999999999997</v>
      </c>
      <c r="N81" s="13">
        <f>IF('Données projet'!$A$36&gt;35,N80+M81-V80,IF(A81&lt;'Données projet'!$A$36,$K$205^A81,IF(A81='Données projet'!$A$36,'Données projet'!$B$36,N80+M81-V80)))</f>
        <v>214.47250000000003</v>
      </c>
      <c r="O81" s="13">
        <f>N81*VLOOKUP('Données projet'!$B$9,Paramètres!$A$1:$I$89,3,0)*VLOOKUP('Données projet'!$B$9,Paramètres!$A$1:$I$89,5,0)</f>
        <v>194.05471800000001</v>
      </c>
      <c r="P81" s="13">
        <f t="shared" si="87"/>
        <v>48.435288774034149</v>
      </c>
      <c r="Q81" s="20">
        <f t="shared" si="54"/>
        <v>422.33676179810942</v>
      </c>
      <c r="R81" s="59">
        <f t="shared" si="55"/>
        <v>715.67009513144274</v>
      </c>
      <c r="S81" s="59">
        <f ca="1">AVERAGE(OFFSET($R$3,0,0,'Données projet'!$E$9+1,1))-AVERAGE(OFFSET($H$3,0,0,'Données projet'!$E$9+1,1))</f>
        <v>233.2883475283553</v>
      </c>
      <c r="T81" s="59">
        <f t="shared" si="88"/>
        <v>211.4485324078031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30.278945482384593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30.278945482384593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8.2100000000000009</v>
      </c>
      <c r="AI81" s="13">
        <f>IF('Données projet'!$A$62&gt;35,AI80+AH81-AQ80,IF(A81&lt;'Données projet'!$A$62,$AF$205^A81,IF(A81='Données projet'!$A$62,'Données projet'!$B$62,AI80+AH81-AQ80)))</f>
        <v>227.62000000000018</v>
      </c>
      <c r="AJ81" s="13">
        <f>AI81*VLOOKUP('Données projet'!$B$10,Paramètres!$A$1:$I$89,3,0)*VLOOKUP('Données projet'!$B$10,Paramètres!$A$1:$I$89,5,0)</f>
        <v>191.74708800000016</v>
      </c>
      <c r="AK81" s="13">
        <f t="shared" si="89"/>
        <v>47.926003197206867</v>
      </c>
      <c r="AL81" s="20">
        <f t="shared" si="58"/>
        <v>417.43063383513555</v>
      </c>
      <c r="AM81" s="59">
        <f t="shared" si="59"/>
        <v>710.76396716846887</v>
      </c>
      <c r="AN81" s="59">
        <f ca="1">AVERAGE(OFFSET($AM$3,0,0,'Données projet'!$E$10+1,1))-AVERAGE(OFFSET($H$3,0,0,'Données projet'!$E$10+1,1))</f>
        <v>206.25389915739601</v>
      </c>
      <c r="AO81" s="59">
        <f t="shared" si="90"/>
        <v>155.24154927193064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24.720597672797886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24.720597672797886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66.549599999999927</v>
      </c>
      <c r="D82" s="11">
        <f t="shared" si="86"/>
        <v>18.814097226522264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658.9478382398205</v>
      </c>
      <c r="H82" s="67">
        <f t="shared" si="56"/>
        <v>442.00843933619274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>
        <f>VLOOKUP(A82,'Données projet'!$A$35:$I$55,2,0)</f>
        <v>221.34</v>
      </c>
      <c r="L82" s="12">
        <f>VLOOKUP(A82,'Données projet'!$A$35:$I$55,9,0)</f>
        <v>6.8674999999999997</v>
      </c>
      <c r="M82" s="12">
        <f t="array" ref="M82">INDEX(L:L,MIN(IF(ISNUMBER(L82:L278),ROW(L82:L278),"")))</f>
        <v>6.8674999999999997</v>
      </c>
      <c r="N82" s="13">
        <f>IF('Données projet'!$A$36&gt;35,N81+M82-V81,IF(A82&lt;'Données projet'!$A$36,$K$205^A82,IF(A82='Données projet'!$A$36,'Données projet'!$B$36,N81+M82-V81)))</f>
        <v>221.34000000000003</v>
      </c>
      <c r="O82" s="13">
        <f>N82*VLOOKUP('Données projet'!$B$9,Paramètres!$A$1:$I$89,3,0)*VLOOKUP('Données projet'!$B$9,Paramètres!$A$1:$I$89,5,0)</f>
        <v>200.26843200000002</v>
      </c>
      <c r="P82" s="13">
        <f t="shared" si="87"/>
        <v>49.803156348474594</v>
      </c>
      <c r="Q82" s="20">
        <f t="shared" si="54"/>
        <v>435.54134970692661</v>
      </c>
      <c r="R82" s="59">
        <f t="shared" si="55"/>
        <v>728.87468304025992</v>
      </c>
      <c r="S82" s="59">
        <f ca="1">AVERAGE(OFFSET($R$3,0,0,'Données projet'!$E$9+1,1))-AVERAGE(OFFSET($H$3,0,0,'Données projet'!$E$9+1,1))</f>
        <v>233.2883475283553</v>
      </c>
      <c r="T82" s="59">
        <f t="shared" si="88"/>
        <v>211.4485324078031</v>
      </c>
      <c r="U82" s="15">
        <f>IF(ISNA(VLOOKUP(A82,'Données projet'!$A$35:$I$55,3,0)),0,VLOOKUP(A82,'Données projet'!$A$35:$I$55,3,0))</f>
        <v>6</v>
      </c>
      <c r="V82" s="15">
        <f>IF(ISNA(VLOOKUP(A82,'Données projet'!$A$35:$I$55,4,0)),0,VLOOKUP(A82,'Données projet'!$A$35:$I$55,4,0))</f>
        <v>39.520000000000003</v>
      </c>
      <c r="W82" s="16">
        <f>IF(ISNA(VLOOKUP(A82,'Données projet'!$A$35:$I$55,5,0)),0%,VLOOKUP(A82,'Données projet'!$A$35:$I$55,5,0)*VLOOKUP('Données projet'!$B$9,Paramètres!$A$1:$I$89,7,0))</f>
        <v>0.25800000000000001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39.88369486204089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39.88369486204089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8.2100000000000009</v>
      </c>
      <c r="AI82" s="13">
        <f>IF('Données projet'!$A$62&gt;35,AI81+AH82-AQ81,IF(A82&lt;'Données projet'!$A$62,$AF$205^A82,IF(A82='Données projet'!$A$62,'Données projet'!$B$62,AI81+AH82-AQ81)))</f>
        <v>235.83000000000018</v>
      </c>
      <c r="AJ82" s="13">
        <f>AI82*VLOOKUP('Données projet'!$B$10,Paramètres!$A$1:$I$89,3,0)*VLOOKUP('Données projet'!$B$10,Paramètres!$A$1:$I$89,5,0)</f>
        <v>198.66319200000018</v>
      </c>
      <c r="AK82" s="13">
        <f t="shared" si="89"/>
        <v>49.450263215298527</v>
      </c>
      <c r="AL82" s="20">
        <f t="shared" si="58"/>
        <v>432.13093449997854</v>
      </c>
      <c r="AM82" s="59">
        <f t="shared" si="59"/>
        <v>725.46426783331185</v>
      </c>
      <c r="AN82" s="59">
        <f ca="1">AVERAGE(OFFSET($AM$3,0,0,'Données projet'!$E$10+1,1))-AVERAGE(OFFSET($H$3,0,0,'Données projet'!$E$10+1,1))</f>
        <v>206.25389915739601</v>
      </c>
      <c r="AO82" s="59">
        <f t="shared" si="90"/>
        <v>155.24154927193064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24.235841830510065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24.235841830510065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67.391999999999925</v>
      </c>
      <c r="D83" s="11">
        <f t="shared" si="86"/>
        <v>19.024375029917962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667.07377216076964</v>
      </c>
      <c r="H83" s="67">
        <f t="shared" si="56"/>
        <v>443.84185317710694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6.6044444444444439</v>
      </c>
      <c r="N83" s="13">
        <f>IF('Données projet'!$A$36&gt;35,N82+M83-V82,IF(A83&lt;'Données projet'!$A$36,$K$205^A83,IF(A83='Données projet'!$A$36,'Données projet'!$B$36,N82+M83-V82)))</f>
        <v>188.42444444444448</v>
      </c>
      <c r="O83" s="13">
        <f>N83*VLOOKUP('Données projet'!$B$9,Paramètres!$A$1:$I$89,3,0)*VLOOKUP('Données projet'!$B$9,Paramètres!$A$1:$I$89,5,0)</f>
        <v>170.48643733333336</v>
      </c>
      <c r="P83" s="13">
        <f t="shared" si="87"/>
        <v>43.198951242520891</v>
      </c>
      <c r="Q83" s="20">
        <f t="shared" si="54"/>
        <v>372.16871843627945</v>
      </c>
      <c r="R83" s="59">
        <f t="shared" si="55"/>
        <v>665.50205176961276</v>
      </c>
      <c r="S83" s="59">
        <f ca="1">AVERAGE(OFFSET($R$3,0,0,'Données projet'!$E$9+1,1))-AVERAGE(OFFSET($H$3,0,0,'Données projet'!$E$9+1,1))</f>
        <v>233.2883475283553</v>
      </c>
      <c r="T83" s="59">
        <f t="shared" si="88"/>
        <v>211.4485324078031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39.101599932448075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39.101599932448075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8.2100000000000009</v>
      </c>
      <c r="AI83" s="13">
        <f>IF('Données projet'!$A$62&gt;35,AI82+AH83-AQ82,IF(A83&lt;'Données projet'!$A$62,$AF$205^A83,IF(A83='Données projet'!$A$62,'Données projet'!$B$62,AI82+AH83-AQ82)))</f>
        <v>244.04000000000019</v>
      </c>
      <c r="AJ83" s="13">
        <f>AI83*VLOOKUP('Données projet'!$B$10,Paramètres!$A$1:$I$89,3,0)*VLOOKUP('Données projet'!$B$10,Paramètres!$A$1:$I$89,5,0)</f>
        <v>205.57929600000017</v>
      </c>
      <c r="AK83" s="13">
        <f t="shared" si="89"/>
        <v>50.968357720865512</v>
      </c>
      <c r="AL83" s="20">
        <f t="shared" si="58"/>
        <v>446.82049689717434</v>
      </c>
      <c r="AM83" s="59">
        <f t="shared" si="59"/>
        <v>740.15383023050765</v>
      </c>
      <c r="AN83" s="59">
        <f ca="1">AVERAGE(OFFSET($AM$3,0,0,'Données projet'!$E$10+1,1))-AVERAGE(OFFSET($H$3,0,0,'Données projet'!$E$10+1,1))</f>
        <v>206.25389915739601</v>
      </c>
      <c r="AO83" s="59">
        <f t="shared" si="90"/>
        <v>155.24154927193064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23.760591754617639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23.760591754617639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68.234399999999923</v>
      </c>
      <c r="D84" s="11">
        <f t="shared" si="86"/>
        <v>19.23434709316394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675.19734598231764</v>
      </c>
      <c r="H84" s="67">
        <f t="shared" si="56"/>
        <v>445.67473452059369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6.6044444444444439</v>
      </c>
      <c r="N84" s="13">
        <f>IF('Données projet'!$A$36&gt;35,N83+M84-V83,IF(A84&lt;'Données projet'!$A$36,$K$205^A84,IF(A84='Données projet'!$A$36,'Données projet'!$B$36,N83+M84-V83)))</f>
        <v>195.02888888888893</v>
      </c>
      <c r="O84" s="13">
        <f>N84*VLOOKUP('Données projet'!$B$9,Paramètres!$A$1:$I$89,3,0)*VLOOKUP('Données projet'!$B$9,Paramètres!$A$1:$I$89,5,0)</f>
        <v>176.4621386666667</v>
      </c>
      <c r="P84" s="13">
        <f t="shared" si="87"/>
        <v>44.534170165589863</v>
      </c>
      <c r="Q84" s="20">
        <f t="shared" si="54"/>
        <v>384.90190454951352</v>
      </c>
      <c r="R84" s="59">
        <f t="shared" si="55"/>
        <v>678.23523788284683</v>
      </c>
      <c r="S84" s="59">
        <f ca="1">AVERAGE(OFFSET($R$3,0,0,'Données projet'!$E$9+1,1))-AVERAGE(OFFSET($H$3,0,0,'Données projet'!$E$9+1,1))</f>
        <v>233.2883475283553</v>
      </c>
      <c r="T84" s="59">
        <f t="shared" si="88"/>
        <v>211.4485324078031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38.334841407393775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38.334841407393775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8.2100000000000009</v>
      </c>
      <c r="AI84" s="13">
        <f>IF('Données projet'!$A$62&gt;35,AI83+AH84-AQ83,IF(A84&lt;'Données projet'!$A$62,$AF$205^A84,IF(A84='Données projet'!$A$62,'Données projet'!$B$62,AI83+AH84-AQ83)))</f>
        <v>252.2500000000002</v>
      </c>
      <c r="AJ84" s="13">
        <f>AI84*VLOOKUP('Données projet'!$B$10,Paramètres!$A$1:$I$89,3,0)*VLOOKUP('Données projet'!$B$10,Paramètres!$A$1:$I$89,5,0)</f>
        <v>212.49540000000019</v>
      </c>
      <c r="AK84" s="13">
        <f t="shared" si="89"/>
        <v>52.480517913758362</v>
      </c>
      <c r="AL84" s="20">
        <f t="shared" si="58"/>
        <v>461.49972369979611</v>
      </c>
      <c r="AM84" s="59">
        <f t="shared" si="59"/>
        <v>754.83305703312942</v>
      </c>
      <c r="AN84" s="59">
        <f ca="1">AVERAGE(OFFSET($AM$3,0,0,'Données projet'!$E$10+1,1))-AVERAGE(OFFSET($H$3,0,0,'Données projet'!$E$10+1,1))</f>
        <v>206.25389915739601</v>
      </c>
      <c r="AO84" s="59">
        <f t="shared" si="90"/>
        <v>155.24154927193064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23.29466104283954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23.29466104283954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69.07679999999992</v>
      </c>
      <c r="D85" s="11">
        <f t="shared" si="86"/>
        <v>19.444017627378649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683.31859221134334</v>
      </c>
      <c r="H85" s="67">
        <f t="shared" si="56"/>
        <v>447.50709070101766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6.6044444444444439</v>
      </c>
      <c r="N85" s="13">
        <f>IF('Données projet'!$A$36&gt;35,N84+M85-V84,IF(A85&lt;'Données projet'!$A$36,$K$205^A85,IF(A85='Données projet'!$A$36,'Données projet'!$B$36,N84+M85-V84)))</f>
        <v>201.63333333333338</v>
      </c>
      <c r="O85" s="13">
        <f>N85*VLOOKUP('Données projet'!$B$9,Paramètres!$A$1:$I$89,3,0)*VLOOKUP('Données projet'!$B$9,Paramètres!$A$1:$I$89,5,0)</f>
        <v>182.43784000000002</v>
      </c>
      <c r="P85" s="13">
        <f t="shared" si="87"/>
        <v>45.864135272896434</v>
      </c>
      <c r="Q85" s="20">
        <f t="shared" si="54"/>
        <v>397.62594026696132</v>
      </c>
      <c r="R85" s="59">
        <f t="shared" si="55"/>
        <v>690.95927360029464</v>
      </c>
      <c r="S85" s="59">
        <f ca="1">AVERAGE(OFFSET($R$3,0,0,'Données projet'!$E$9+1,1))-AVERAGE(OFFSET($H$3,0,0,'Données projet'!$E$9+1,1))</f>
        <v>233.2883475283553</v>
      </c>
      <c r="T85" s="59">
        <f t="shared" si="88"/>
        <v>211.4485324078031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37.583118549339268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37.583118549339268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8.2100000000000009</v>
      </c>
      <c r="AI85" s="13">
        <f>IF('Données projet'!$A$62&gt;35,AI84+AH85-AQ84,IF(A85&lt;'Données projet'!$A$62,$AF$205^A85,IF(A85='Données projet'!$A$62,'Données projet'!$B$62,AI84+AH85-AQ84)))</f>
        <v>260.46000000000021</v>
      </c>
      <c r="AJ85" s="13">
        <f>AI85*VLOOKUP('Données projet'!$B$10,Paramètres!$A$1:$I$89,3,0)*VLOOKUP('Données projet'!$B$10,Paramètres!$A$1:$I$89,5,0)</f>
        <v>219.41150400000021</v>
      </c>
      <c r="AK85" s="13">
        <f t="shared" si="89"/>
        <v>53.986959089771062</v>
      </c>
      <c r="AL85" s="20">
        <f t="shared" si="58"/>
        <v>476.16898988135159</v>
      </c>
      <c r="AM85" s="59">
        <f t="shared" si="59"/>
        <v>769.50232321468491</v>
      </c>
      <c r="AN85" s="59">
        <f ca="1">AVERAGE(OFFSET($AM$3,0,0,'Données projet'!$E$10+1,1))-AVERAGE(OFFSET($H$3,0,0,'Données projet'!$E$10+1,1))</f>
        <v>206.25389915739601</v>
      </c>
      <c r="AO85" s="59">
        <f t="shared" si="90"/>
        <v>155.24154927193064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22.837866948129736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22.837866948129736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69.919199999999918</v>
      </c>
      <c r="D86" s="11">
        <f t="shared" si="86"/>
        <v>19.653390735061713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691.43754251626524</v>
      </c>
      <c r="H86" s="67">
        <f t="shared" si="56"/>
        <v>449.33892886356563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6.6044444444444439</v>
      </c>
      <c r="N86" s="13">
        <f>IF('Données projet'!$A$36&gt;35,N85+M86-V85,IF(A86&lt;'Données projet'!$A$36,$K$205^A86,IF(A86='Données projet'!$A$36,'Données projet'!$B$36,N85+M86-V85)))</f>
        <v>208.23777777777784</v>
      </c>
      <c r="O86" s="13">
        <f>N86*VLOOKUP('Données projet'!$B$9,Paramètres!$A$1:$I$89,3,0)*VLOOKUP('Données projet'!$B$9,Paramètres!$A$1:$I$89,5,0)</f>
        <v>188.41354133333337</v>
      </c>
      <c r="P86" s="13">
        <f t="shared" si="87"/>
        <v>47.189038386567866</v>
      </c>
      <c r="Q86" s="20">
        <f t="shared" si="54"/>
        <v>410.34115967882798</v>
      </c>
      <c r="R86" s="59">
        <f t="shared" si="55"/>
        <v>703.67449301216129</v>
      </c>
      <c r="S86" s="59">
        <f ca="1">AVERAGE(OFFSET($R$3,0,0,'Données projet'!$E$9+1,1))-AVERAGE(OFFSET($H$3,0,0,'Données projet'!$E$9+1,1))</f>
        <v>233.2883475283553</v>
      </c>
      <c r="T86" s="59">
        <f t="shared" si="88"/>
        <v>211.4485324078031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36.846136518025538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36.846136518025538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268.67</v>
      </c>
      <c r="AG86" s="12">
        <f>VLOOKUP(A86,'Données projet'!$A$61:$I$81,9,0)</f>
        <v>8.2100000000000009</v>
      </c>
      <c r="AH86" s="12">
        <f t="array" ref="AH86">INDEX(AG:AG,MIN(IF(ISNUMBER(AG86:AG282),ROW(AG86:AG282),"")))</f>
        <v>8.2100000000000009</v>
      </c>
      <c r="AI86" s="13">
        <f>IF('Données projet'!$A$62&gt;35,AI85+AH86-AQ85,IF(A86&lt;'Données projet'!$A$62,$AF$205^A86,IF(A86='Données projet'!$A$62,'Données projet'!$B$62,AI85+AH86-AQ85)))</f>
        <v>268.67000000000019</v>
      </c>
      <c r="AJ86" s="13">
        <f>AI86*VLOOKUP('Données projet'!$B$10,Paramètres!$A$1:$I$89,3,0)*VLOOKUP('Données projet'!$B$10,Paramètres!$A$1:$I$89,5,0)</f>
        <v>226.32760800000017</v>
      </c>
      <c r="AK86" s="13">
        <f t="shared" si="89"/>
        <v>55.487882201127306</v>
      </c>
      <c r="AL86" s="20">
        <f t="shared" si="58"/>
        <v>490.8286454336303</v>
      </c>
      <c r="AM86" s="59">
        <f t="shared" si="59"/>
        <v>784.16197876696356</v>
      </c>
      <c r="AN86" s="59">
        <f ca="1">AVERAGE(OFFSET($AM$3,0,0,'Données projet'!$E$10+1,1))-AVERAGE(OFFSET($H$3,0,0,'Données projet'!$E$10+1,1))</f>
        <v>206.25389915739601</v>
      </c>
      <c r="AO86" s="59">
        <f t="shared" si="90"/>
        <v>155.24154927193064</v>
      </c>
      <c r="AP86" s="15">
        <f>IF(ISNA(VLOOKUP(A86,'Données projet'!$A$61:$I$81,3,0)),0,VLOOKUP(A86,'Données projet'!$A$61:$I$81,3,0))</f>
        <v>7</v>
      </c>
      <c r="AQ86" s="15">
        <f>IF(ISNA(VLOOKUP(A86,'Données projet'!$A$61:$I$81,4,0)),0,VLOOKUP(A86,'Données projet'!$A$61:$I$81,4,0))</f>
        <v>44.22</v>
      </c>
      <c r="AR86" s="16">
        <f>IF(ISNA(VLOOKUP(A86,'Données projet'!$A$61:$I$81,5,0)),0%,VLOOKUP(A86,'Données projet'!$A$61:$I$81,5,0)*VLOOKUP('Données projet'!$B$10,Paramètres!$A$1:$I$89,7,0))</f>
        <v>0.25800000000000001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33.014418065641877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33.014418065641877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70.761599999999916</v>
      </c>
      <c r="D87" s="11">
        <f t="shared" si="86"/>
        <v>19.862470414169749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699.55422775850275</v>
      </c>
      <c r="H87" s="67">
        <f t="shared" si="56"/>
        <v>451.17025597134545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6.6044444444444439</v>
      </c>
      <c r="N87" s="13">
        <f>IF('Données projet'!$A$36&gt;35,N86+M87-V86,IF(A87&lt;'Données projet'!$A$36,$K$205^A87,IF(A87='Données projet'!$A$36,'Données projet'!$B$36,N86+M87-V86)))</f>
        <v>214.84222222222229</v>
      </c>
      <c r="O87" s="13">
        <f>N87*VLOOKUP('Données projet'!$B$9,Paramètres!$A$1:$I$89,3,0)*VLOOKUP('Données projet'!$B$9,Paramètres!$A$1:$I$89,5,0)</f>
        <v>194.38924266666672</v>
      </c>
      <c r="P87" s="13">
        <f t="shared" si="87"/>
        <v>48.50905847015467</v>
      </c>
      <c r="Q87" s="20">
        <f t="shared" si="54"/>
        <v>423.04787447996387</v>
      </c>
      <c r="R87" s="59">
        <f t="shared" si="55"/>
        <v>716.38120781329712</v>
      </c>
      <c r="S87" s="59">
        <f ca="1">AVERAGE(OFFSET($R$3,0,0,'Données projet'!$E$9+1,1))-AVERAGE(OFFSET($H$3,0,0,'Données projet'!$E$9+1,1))</f>
        <v>233.2883475283553</v>
      </c>
      <c r="T87" s="59">
        <f t="shared" si="88"/>
        <v>211.4485324078031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36.123606254831216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36.123606254831216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7.9879999999999969</v>
      </c>
      <c r="AI87" s="13">
        <f>IF('Données projet'!$A$62&gt;35,AI86+AH87-AQ86,IF(A87&lt;'Données projet'!$A$62,$AF$205^A87,IF(A87='Données projet'!$A$62,'Données projet'!$B$62,AI86+AH87-AQ86)))</f>
        <v>232.43800000000019</v>
      </c>
      <c r="AJ87" s="13">
        <f>AI87*VLOOKUP('Données projet'!$B$10,Paramètres!$A$1:$I$89,3,0)*VLOOKUP('Données projet'!$B$10,Paramètres!$A$1:$I$89,5,0)</f>
        <v>195.80577120000018</v>
      </c>
      <c r="AK87" s="13">
        <f t="shared" si="89"/>
        <v>48.821269270689932</v>
      </c>
      <c r="AL87" s="20">
        <f t="shared" si="58"/>
        <v>426.05876215311855</v>
      </c>
      <c r="AM87" s="59">
        <f t="shared" si="59"/>
        <v>719.39209548645181</v>
      </c>
      <c r="AN87" s="59">
        <f ca="1">AVERAGE(OFFSET($AM$3,0,0,'Données projet'!$E$10+1,1))-AVERAGE(OFFSET($H$3,0,0,'Données projet'!$E$10+1,1))</f>
        <v>206.25389915739601</v>
      </c>
      <c r="AO87" s="59">
        <f t="shared" si="90"/>
        <v>155.24154927193064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32.367025464181317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32.367025464181317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71.603999999999914</v>
      </c>
      <c r="D88" s="11">
        <f t="shared" si="86"/>
        <v>20.071260561992577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707.66867802239813</v>
      </c>
      <c r="H88" s="67">
        <f t="shared" si="56"/>
        <v>453.00107881213694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6.6044444444444439</v>
      </c>
      <c r="N88" s="13">
        <f>IF('Données projet'!$A$36&gt;35,N87+M88-V87,IF(A88&lt;'Données projet'!$A$36,$K$205^A88,IF(A88='Données projet'!$A$36,'Données projet'!$B$36,N87+M88-V87)))</f>
        <v>221.44666666666674</v>
      </c>
      <c r="O88" s="13">
        <f>N88*VLOOKUP('Données projet'!$B$9,Paramètres!$A$1:$I$89,3,0)*VLOOKUP('Données projet'!$B$9,Paramètres!$A$1:$I$89,5,0)</f>
        <v>200.36494400000004</v>
      </c>
      <c r="P88" s="13">
        <f t="shared" si="87"/>
        <v>49.824362859082015</v>
      </c>
      <c r="Q88" s="20">
        <f t="shared" si="54"/>
        <v>435.74637611290126</v>
      </c>
      <c r="R88" s="59">
        <f t="shared" si="55"/>
        <v>729.07970944623457</v>
      </c>
      <c r="S88" s="59">
        <f ca="1">AVERAGE(OFFSET($R$3,0,0,'Données projet'!$E$9+1,1))-AVERAGE(OFFSET($H$3,0,0,'Données projet'!$E$9+1,1))</f>
        <v>233.2883475283553</v>
      </c>
      <c r="T88" s="59">
        <f t="shared" si="88"/>
        <v>211.4485324078031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35.415244369398188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35.415244369398188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7.9879999999999969</v>
      </c>
      <c r="AI88" s="13">
        <f>IF('Données projet'!$A$62&gt;35,AI87+AH88-AQ87,IF(A88&lt;'Données projet'!$A$62,$AF$205^A88,IF(A88='Données projet'!$A$62,'Données projet'!$B$62,AI87+AH88-AQ87)))</f>
        <v>240.42600000000019</v>
      </c>
      <c r="AJ88" s="13">
        <f>AI88*VLOOKUP('Données projet'!$B$10,Paramètres!$A$1:$I$89,3,0)*VLOOKUP('Données projet'!$B$10,Paramètres!$A$1:$I$89,5,0)</f>
        <v>202.53486240000018</v>
      </c>
      <c r="AK88" s="13">
        <f t="shared" si="89"/>
        <v>50.300844751824435</v>
      </c>
      <c r="AL88" s="20">
        <f t="shared" si="58"/>
        <v>440.35552328942782</v>
      </c>
      <c r="AM88" s="59">
        <f t="shared" si="59"/>
        <v>733.68885662276114</v>
      </c>
      <c r="AN88" s="59">
        <f ca="1">AVERAGE(OFFSET($AM$3,0,0,'Données projet'!$E$10+1,1))-AVERAGE(OFFSET($H$3,0,0,'Données projet'!$E$10+1,1))</f>
        <v>206.25389915739601</v>
      </c>
      <c r="AO88" s="59">
        <f t="shared" si="90"/>
        <v>155.24154927193064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31.732327836764899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31.732327836764899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72.446399999999912</v>
      </c>
      <c r="D89" s="11">
        <f t="shared" si="86"/>
        <v>20.279764978841854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715.78092264369081</v>
      </c>
      <c r="H89" s="67">
        <f t="shared" si="56"/>
        <v>454.83140400481602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6.6044444444444439</v>
      </c>
      <c r="N89" s="13">
        <f>IF('Données projet'!$A$36&gt;35,N88+M89-V88,IF(A89&lt;'Données projet'!$A$36,$K$205^A89,IF(A89='Données projet'!$A$36,'Données projet'!$B$36,N88+M89-V88)))</f>
        <v>228.0511111111112</v>
      </c>
      <c r="O89" s="13">
        <f>N89*VLOOKUP('Données projet'!$B$9,Paramètres!$A$1:$I$89,3,0)*VLOOKUP('Données projet'!$B$9,Paramètres!$A$1:$I$89,5,0)</f>
        <v>206.34064533333338</v>
      </c>
      <c r="P89" s="13">
        <f t="shared" si="87"/>
        <v>51.13510834018826</v>
      </c>
      <c r="Q89" s="20">
        <f t="shared" si="54"/>
        <v>448.43693764805016</v>
      </c>
      <c r="R89" s="59">
        <f t="shared" si="55"/>
        <v>741.77027098138342</v>
      </c>
      <c r="S89" s="59">
        <f ca="1">AVERAGE(OFFSET($R$3,0,0,'Données projet'!$E$9+1,1))-AVERAGE(OFFSET($H$3,0,0,'Données projet'!$E$9+1,1))</f>
        <v>233.2883475283553</v>
      </c>
      <c r="T89" s="59">
        <f t="shared" si="88"/>
        <v>211.4485324078031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34.720773028480416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34.720773028480416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7.9879999999999969</v>
      </c>
      <c r="AI89" s="13">
        <f>IF('Données projet'!$A$62&gt;35,AI88+AH89-AQ88,IF(A89&lt;'Données projet'!$A$62,$AF$205^A89,IF(A89='Données projet'!$A$62,'Données projet'!$B$62,AI88+AH89-AQ88)))</f>
        <v>248.41400000000019</v>
      </c>
      <c r="AJ89" s="13">
        <f>AI89*VLOOKUP('Données projet'!$B$10,Paramètres!$A$1:$I$89,3,0)*VLOOKUP('Données projet'!$B$10,Paramètres!$A$1:$I$89,5,0)</f>
        <v>209.26395360000021</v>
      </c>
      <c r="AK89" s="13">
        <f t="shared" si="89"/>
        <v>51.774708187666221</v>
      </c>
      <c r="AL89" s="20">
        <f t="shared" si="58"/>
        <v>454.64233594685237</v>
      </c>
      <c r="AM89" s="59">
        <f t="shared" si="59"/>
        <v>747.97566928018568</v>
      </c>
      <c r="AN89" s="59">
        <f ca="1">AVERAGE(OFFSET($AM$3,0,0,'Données projet'!$E$10+1,1))-AVERAGE(OFFSET($H$3,0,0,'Données projet'!$E$10+1,1))</f>
        <v>206.25389915739601</v>
      </c>
      <c r="AO89" s="59">
        <f t="shared" si="90"/>
        <v>155.24154927193064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31.110076242694792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31.110076242694792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73.28879999999991</v>
      </c>
      <c r="D90" s="11">
        <f t="shared" si="86"/>
        <v>20.487987371563197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723.89099023662754</v>
      </c>
      <c r="H90" s="67">
        <f t="shared" si="56"/>
        <v>456.66123800547234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6.6044444444444439</v>
      </c>
      <c r="N90" s="13">
        <f>IF('Données projet'!$A$36&gt;35,N89+M90-V89,IF(A90&lt;'Données projet'!$A$36,$K$205^A90,IF(A90='Données projet'!$A$36,'Données projet'!$B$36,N89+M90-V89)))</f>
        <v>234.65555555555565</v>
      </c>
      <c r="O90" s="13">
        <f>N90*VLOOKUP('Données projet'!$B$9,Paramètres!$A$1:$I$89,3,0)*VLOOKUP('Données projet'!$B$9,Paramètres!$A$1:$I$89,5,0)</f>
        <v>212.31634666666676</v>
      </c>
      <c r="P90" s="13">
        <f t="shared" si="87"/>
        <v>52.441442102693976</v>
      </c>
      <c r="Q90" s="20">
        <f t="shared" si="54"/>
        <v>461.1198154399699</v>
      </c>
      <c r="R90" s="59">
        <f t="shared" si="55"/>
        <v>754.45314877330316</v>
      </c>
      <c r="S90" s="59">
        <f ca="1">AVERAGE(OFFSET($R$3,0,0,'Données projet'!$E$9+1,1))-AVERAGE(OFFSET($H$3,0,0,'Données projet'!$E$9+1,1))</f>
        <v>233.2883475283553</v>
      </c>
      <c r="T90" s="59">
        <f t="shared" si="88"/>
        <v>211.4485324078031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34.039919846972353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34.039919846972353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7.9879999999999969</v>
      </c>
      <c r="AI90" s="13">
        <f>IF('Données projet'!$A$62&gt;35,AI89+AH90-AQ89,IF(A90&lt;'Données projet'!$A$62,$AF$205^A90,IF(A90='Données projet'!$A$62,'Données projet'!$B$62,AI89+AH90-AQ89)))</f>
        <v>256.40200000000016</v>
      </c>
      <c r="AJ90" s="13">
        <f>AI90*VLOOKUP('Données projet'!$B$10,Paramètres!$A$1:$I$89,3,0)*VLOOKUP('Données projet'!$B$10,Paramètres!$A$1:$I$89,5,0)</f>
        <v>215.99304480000018</v>
      </c>
      <c r="AK90" s="13">
        <f t="shared" si="89"/>
        <v>53.243064323023681</v>
      </c>
      <c r="AL90" s="20">
        <f t="shared" si="58"/>
        <v>468.91955672259991</v>
      </c>
      <c r="AM90" s="59">
        <f t="shared" si="59"/>
        <v>762.25289005593322</v>
      </c>
      <c r="AN90" s="59">
        <f ca="1">AVERAGE(OFFSET($AM$3,0,0,'Données projet'!$E$10+1,1))-AVERAGE(OFFSET($H$3,0,0,'Données projet'!$E$10+1,1))</f>
        <v>206.25389915739601</v>
      </c>
      <c r="AO90" s="59">
        <f t="shared" si="90"/>
        <v>155.24154927193064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30.500026622848402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30.500026622848402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74.131199999999907</v>
      </c>
      <c r="D91" s="11">
        <f t="shared" si="86"/>
        <v>20.695931356882308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731.99890871979267</v>
      </c>
      <c r="H91" s="67">
        <f t="shared" si="56"/>
        <v>458.49058711323653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>
        <f>VLOOKUP(A91,'Données projet'!$A$35:$I$55,2,0)</f>
        <v>241.26</v>
      </c>
      <c r="L91" s="12">
        <f>VLOOKUP(A91,'Données projet'!$A$35:$I$55,9,0)</f>
        <v>6.6044444444444439</v>
      </c>
      <c r="M91" s="12">
        <f t="array" ref="M91">INDEX(L:L,MIN(IF(ISNUMBER(L91:L287),ROW(L91:L287),"")))</f>
        <v>6.6044444444444439</v>
      </c>
      <c r="N91" s="13">
        <f>IF('Données projet'!$A$36&gt;35,N90+M91-V90,IF(A91&lt;'Données projet'!$A$36,$K$205^A91,IF(A91='Données projet'!$A$36,'Données projet'!$B$36,N90+M91-V90)))</f>
        <v>241.2600000000001</v>
      </c>
      <c r="O91" s="13">
        <f>N91*VLOOKUP('Données projet'!$B$9,Paramètres!$A$1:$I$89,3,0)*VLOOKUP('Données projet'!$B$9,Paramètres!$A$1:$I$89,5,0)</f>
        <v>218.29204800000011</v>
      </c>
      <c r="P91" s="13">
        <f t="shared" si="87"/>
        <v>53.743502579099676</v>
      </c>
      <c r="Q91" s="20">
        <f t="shared" si="54"/>
        <v>473.79525059193207</v>
      </c>
      <c r="R91" s="59">
        <f t="shared" si="55"/>
        <v>767.12858392526539</v>
      </c>
      <c r="S91" s="59">
        <f ca="1">AVERAGE(OFFSET($R$3,0,0,'Données projet'!$E$9+1,1))-AVERAGE(OFFSET($H$3,0,0,'Données projet'!$E$9+1,1))</f>
        <v>233.2883475283553</v>
      </c>
      <c r="T91" s="59">
        <f t="shared" si="88"/>
        <v>211.4485324078031</v>
      </c>
      <c r="U91" s="15">
        <f>IF(ISNA(VLOOKUP(A91,'Données projet'!$A$35:$I$55,3,0)),0,VLOOKUP(A91,'Données projet'!$A$35:$I$55,3,0))</f>
        <v>7</v>
      </c>
      <c r="V91" s="15">
        <f>IF(ISNA(VLOOKUP(A91,'Données projet'!$A$35:$I$55,4,0)),0,VLOOKUP(A91,'Données projet'!$A$35:$I$55,4,0))</f>
        <v>40.659999999999997</v>
      </c>
      <c r="W91" s="16">
        <f>IF(ISNA(VLOOKUP(A91,'Données projet'!$A$35:$I$55,5,0)),0%,VLOOKUP(A91,'Données projet'!$A$35:$I$55,5,0)*VLOOKUP('Données projet'!$B$9,Paramètres!$A$1:$I$89,7,0))</f>
        <v>0.25800000000000001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43.865106343082886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43.865106343082886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7.9879999999999969</v>
      </c>
      <c r="AI91" s="13">
        <f>IF('Données projet'!$A$62&gt;35,AI90+AH91-AQ90,IF(A91&lt;'Données projet'!$A$62,$AF$205^A91,IF(A91='Données projet'!$A$62,'Données projet'!$B$62,AI90+AH91-AQ90)))</f>
        <v>264.39000000000016</v>
      </c>
      <c r="AJ91" s="13">
        <f>AI91*VLOOKUP('Données projet'!$B$10,Paramètres!$A$1:$I$89,3,0)*VLOOKUP('Données projet'!$B$10,Paramètres!$A$1:$I$89,5,0)</f>
        <v>222.72213600000015</v>
      </c>
      <c r="AK91" s="13">
        <f t="shared" si="89"/>
        <v>54.70610442073766</v>
      </c>
      <c r="AL91" s="20">
        <f t="shared" si="58"/>
        <v>483.18751873278489</v>
      </c>
      <c r="AM91" s="59">
        <f t="shared" si="59"/>
        <v>776.52085206611821</v>
      </c>
      <c r="AN91" s="59">
        <f ca="1">AVERAGE(OFFSET($AM$3,0,0,'Données projet'!$E$10+1,1))-AVERAGE(OFFSET($H$3,0,0,'Données projet'!$E$10+1,1))</f>
        <v>206.25389915739601</v>
      </c>
      <c r="AO91" s="59">
        <f t="shared" si="90"/>
        <v>155.24154927193064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29.901939703953673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29.901939703953673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74.973599999999905</v>
      </c>
      <c r="D92" s="11">
        <f t="shared" si="86"/>
        <v>20.903600464594543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740.1047053407292</v>
      </c>
      <c r="H92" s="67">
        <f t="shared" si="56"/>
        <v>460.31945747583529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6.3777777777777782</v>
      </c>
      <c r="N92" s="13">
        <f>IF('Données projet'!$A$36&gt;35,N91+M92-V91,IF(A92&lt;'Données projet'!$A$36,$K$205^A92,IF(A92='Données projet'!$A$36,'Données projet'!$B$36,N91+M92-V91)))</f>
        <v>206.97777777777787</v>
      </c>
      <c r="O92" s="13">
        <f>N92*VLOOKUP('Données projet'!$B$9,Paramètres!$A$1:$I$89,3,0)*VLOOKUP('Données projet'!$B$9,Paramètres!$A$1:$I$89,5,0)</f>
        <v>187.27349333333342</v>
      </c>
      <c r="P92" s="13">
        <f t="shared" si="87"/>
        <v>46.936654794797931</v>
      </c>
      <c r="Q92" s="20">
        <f t="shared" si="54"/>
        <v>407.91600798982876</v>
      </c>
      <c r="R92" s="59">
        <f t="shared" si="55"/>
        <v>701.24934132316207</v>
      </c>
      <c r="S92" s="59">
        <f ca="1">AVERAGE(OFFSET($R$3,0,0,'Données projet'!$E$9+1,1))-AVERAGE(OFFSET($H$3,0,0,'Données projet'!$E$9+1,1))</f>
        <v>233.2883475283553</v>
      </c>
      <c r="T92" s="59">
        <f t="shared" si="88"/>
        <v>211.4485324078031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43.004938362768058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43.004938362768058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7.9879999999999969</v>
      </c>
      <c r="AI92" s="13">
        <f>IF('Données projet'!$A$62&gt;35,AI91+AH92-AQ91,IF(A92&lt;'Données projet'!$A$62,$AF$205^A92,IF(A92='Données projet'!$A$62,'Données projet'!$B$62,AI91+AH92-AQ91)))</f>
        <v>272.37800000000016</v>
      </c>
      <c r="AJ92" s="13">
        <f>AI92*VLOOKUP('Données projet'!$B$10,Paramètres!$A$1:$I$89,3,0)*VLOOKUP('Données projet'!$B$10,Paramètres!$A$1:$I$89,5,0)</f>
        <v>229.45122720000015</v>
      </c>
      <c r="AK92" s="13">
        <f t="shared" si="89"/>
        <v>56.164007529639626</v>
      </c>
      <c r="AL92" s="20">
        <f t="shared" si="58"/>
        <v>497.44653382078923</v>
      </c>
      <c r="AM92" s="59">
        <f t="shared" si="59"/>
        <v>790.77986715412248</v>
      </c>
      <c r="AN92" s="59">
        <f ca="1">AVERAGE(OFFSET($AM$3,0,0,'Données projet'!$E$10+1,1))-AVERAGE(OFFSET($H$3,0,0,'Données projet'!$E$10+1,1))</f>
        <v>206.25389915739601</v>
      </c>
      <c r="AO92" s="59">
        <f t="shared" si="90"/>
        <v>155.24154927193064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29.31558090474147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29.31558090474147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75.815999999999903</v>
      </c>
      <c r="D93" s="11">
        <f t="shared" si="86"/>
        <v>21.110998140607126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748.20840669942265</v>
      </c>
      <c r="H93" s="67">
        <f t="shared" si="56"/>
        <v>462.14785509489053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6.3777777777777782</v>
      </c>
      <c r="N93" s="13">
        <f>IF('Données projet'!$A$36&gt;35,N92+M93-V92,IF(A93&lt;'Données projet'!$A$36,$K$205^A93,IF(A93='Données projet'!$A$36,'Données projet'!$B$36,N92+M93-V92)))</f>
        <v>213.35555555555564</v>
      </c>
      <c r="O93" s="13">
        <f>N93*VLOOKUP('Données projet'!$B$9,Paramètres!$A$1:$I$89,3,0)*VLOOKUP('Données projet'!$B$9,Paramètres!$A$1:$I$89,5,0)</f>
        <v>193.04410666666672</v>
      </c>
      <c r="P93" s="13">
        <f t="shared" si="87"/>
        <v>48.212337772161298</v>
      </c>
      <c r="Q93" s="20">
        <f t="shared" si="54"/>
        <v>420.18830739762547</v>
      </c>
      <c r="R93" s="59">
        <f t="shared" si="55"/>
        <v>713.52164073095878</v>
      </c>
      <c r="S93" s="59">
        <f ca="1">AVERAGE(OFFSET($R$3,0,0,'Données projet'!$E$9+1,1))-AVERAGE(OFFSET($H$3,0,0,'Données projet'!$E$9+1,1))</f>
        <v>233.2883475283553</v>
      </c>
      <c r="T93" s="59">
        <f t="shared" si="88"/>
        <v>211.4485324078031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42.161637751896542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42.161637751896542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7.9879999999999969</v>
      </c>
      <c r="AI93" s="13">
        <f>IF('Données projet'!$A$62&gt;35,AI92+AH93-AQ92,IF(A93&lt;'Données projet'!$A$62,$AF$205^A93,IF(A93='Données projet'!$A$62,'Données projet'!$B$62,AI92+AH93-AQ92)))</f>
        <v>280.36600000000016</v>
      </c>
      <c r="AJ93" s="13">
        <f>AI93*VLOOKUP('Données projet'!$B$10,Paramètres!$A$1:$I$89,3,0)*VLOOKUP('Données projet'!$B$10,Paramètres!$A$1:$I$89,5,0)</f>
        <v>236.18031840000015</v>
      </c>
      <c r="AK93" s="13">
        <f t="shared" si="89"/>
        <v>57.61694159958833</v>
      </c>
      <c r="AL93" s="20">
        <f t="shared" si="58"/>
        <v>511.69689449928336</v>
      </c>
      <c r="AM93" s="59">
        <f t="shared" si="59"/>
        <v>805.03022783261667</v>
      </c>
      <c r="AN93" s="59">
        <f ca="1">AVERAGE(OFFSET($AM$3,0,0,'Données projet'!$E$10+1,1))-AVERAGE(OFFSET($H$3,0,0,'Données projet'!$E$10+1,1))</f>
        <v>206.25389915739601</v>
      </c>
      <c r="AO93" s="59">
        <f t="shared" si="90"/>
        <v>155.24154927193064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28.740720243938267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28.740720243938267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76.658399999999901</v>
      </c>
      <c r="D94" s="11">
        <f t="shared" si="86"/>
        <v>21.318127749842336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756.31003877071191</v>
      </c>
      <c r="H94" s="67">
        <f t="shared" si="56"/>
        <v>463.97578583097516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6.3777777777777782</v>
      </c>
      <c r="N94" s="13">
        <f>IF('Données projet'!$A$36&gt;35,N93+M94-V93,IF(A94&lt;'Données projet'!$A$36,$K$205^A94,IF(A94='Données projet'!$A$36,'Données projet'!$B$36,N93+M94-V93)))</f>
        <v>219.73333333333341</v>
      </c>
      <c r="O94" s="13">
        <f>N94*VLOOKUP('Données projet'!$B$9,Paramètres!$A$1:$I$89,3,0)*VLOOKUP('Données projet'!$B$9,Paramètres!$A$1:$I$89,5,0)</f>
        <v>198.81472000000005</v>
      </c>
      <c r="P94" s="13">
        <f t="shared" si="87"/>
        <v>49.483589010632528</v>
      </c>
      <c r="Q94" s="20">
        <f t="shared" si="54"/>
        <v>432.45288819351839</v>
      </c>
      <c r="R94" s="59">
        <f t="shared" si="55"/>
        <v>725.7862215268517</v>
      </c>
      <c r="S94" s="59">
        <f ca="1">AVERAGE(OFFSET($R$3,0,0,'Données projet'!$E$9+1,1))-AVERAGE(OFFSET($H$3,0,0,'Données projet'!$E$9+1,1))</f>
        <v>233.2883475283553</v>
      </c>
      <c r="T94" s="59">
        <f t="shared" si="88"/>
        <v>211.4485324078031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41.334873751641631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41.334873751641631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7.9879999999999969</v>
      </c>
      <c r="AI94" s="13">
        <f>IF('Données projet'!$A$62&gt;35,AI93+AH94-AQ93,IF(A94&lt;'Données projet'!$A$62,$AF$205^A94,IF(A94='Données projet'!$A$62,'Données projet'!$B$62,AI93+AH94-AQ93)))</f>
        <v>288.35400000000016</v>
      </c>
      <c r="AJ94" s="13">
        <f>AI94*VLOOKUP('Données projet'!$B$10,Paramètres!$A$1:$I$89,3,0)*VLOOKUP('Données projet'!$B$10,Paramètres!$A$1:$I$89,5,0)</f>
        <v>242.90940960000015</v>
      </c>
      <c r="AK94" s="13">
        <f t="shared" si="89"/>
        <v>59.065064465860083</v>
      </c>
      <c r="AL94" s="20">
        <f t="shared" si="58"/>
        <v>525.93887566470653</v>
      </c>
      <c r="AM94" s="59">
        <f t="shared" si="59"/>
        <v>819.27220899803979</v>
      </c>
      <c r="AN94" s="59">
        <f ca="1">AVERAGE(OFFSET($AM$3,0,0,'Données projet'!$E$10+1,1))-AVERAGE(OFFSET($H$3,0,0,'Données projet'!$E$10+1,1))</f>
        <v>206.25389915739601</v>
      </c>
      <c r="AO94" s="59">
        <f t="shared" si="90"/>
        <v>155.24154927193064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28.177132250063032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28.177132250063032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77.500799999999899</v>
      </c>
      <c r="D95" s="11">
        <f t="shared" si="86"/>
        <v>21.524992579009236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764.40962692568462</v>
      </c>
      <c r="H95" s="67">
        <f t="shared" si="56"/>
        <v>465.80325540844092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6.3777777777777782</v>
      </c>
      <c r="N95" s="13">
        <f>IF('Données projet'!$A$36&gt;35,N94+M95-V94,IF(A95&lt;'Données projet'!$A$36,$K$205^A95,IF(A95='Données projet'!$A$36,'Données projet'!$B$36,N94+M95-V94)))</f>
        <v>226.11111111111117</v>
      </c>
      <c r="O95" s="13">
        <f>N95*VLOOKUP('Données projet'!$B$9,Paramètres!$A$1:$I$89,3,0)*VLOOKUP('Données projet'!$B$9,Paramètres!$A$1:$I$89,5,0)</f>
        <v>204.58533333333338</v>
      </c>
      <c r="P95" s="13">
        <f t="shared" si="87"/>
        <v>50.750551913007541</v>
      </c>
      <c r="Q95" s="20">
        <f t="shared" si="54"/>
        <v>444.71000013737711</v>
      </c>
      <c r="R95" s="59">
        <f t="shared" si="55"/>
        <v>738.04333347071042</v>
      </c>
      <c r="S95" s="59">
        <f ca="1">AVERAGE(OFFSET($R$3,0,0,'Données projet'!$E$9+1,1))-AVERAGE(OFFSET($H$3,0,0,'Données projet'!$E$9+1,1))</f>
        <v>233.2883475283553</v>
      </c>
      <c r="T95" s="59">
        <f t="shared" si="88"/>
        <v>211.4485324078031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40.524322089155469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40.524322089155469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7.9879999999999969</v>
      </c>
      <c r="AI95" s="13">
        <f>IF('Données projet'!$A$62&gt;35,AI94+AH95-AQ94,IF(A95&lt;'Données projet'!$A$62,$AF$205^A95,IF(A95='Données projet'!$A$62,'Données projet'!$B$62,AI94+AH95-AQ94)))</f>
        <v>296.34200000000016</v>
      </c>
      <c r="AJ95" s="13">
        <f>AI95*VLOOKUP('Données projet'!$B$10,Paramètres!$A$1:$I$89,3,0)*VLOOKUP('Données projet'!$B$10,Paramètres!$A$1:$I$89,5,0)</f>
        <v>249.63850080000017</v>
      </c>
      <c r="AK95" s="13">
        <f t="shared" si="89"/>
        <v>60.508524721393243</v>
      </c>
      <c r="AL95" s="20">
        <f t="shared" si="58"/>
        <v>540.17273611642679</v>
      </c>
      <c r="AM95" s="59">
        <f t="shared" si="59"/>
        <v>833.50606944976016</v>
      </c>
      <c r="AN95" s="59">
        <f ca="1">AVERAGE(OFFSET($AM$3,0,0,'Données projet'!$E$10+1,1))-AVERAGE(OFFSET($H$3,0,0,'Données projet'!$E$10+1,1))</f>
        <v>206.25389915739601</v>
      </c>
      <c r="AO95" s="59">
        <f t="shared" si="90"/>
        <v>155.24154927193064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27.624595872992955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27.624595872992955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78.343199999999896</v>
      </c>
      <c r="D96" s="11">
        <f t="shared" si="86"/>
        <v>21.731595839251778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772.50719595211831</v>
      </c>
      <c r="H96" s="67">
        <f t="shared" si="56"/>
        <v>467.63026942003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6.3777777777777782</v>
      </c>
      <c r="N96" s="13">
        <f>IF('Données projet'!$A$36&gt;35,N95+M96-V95,IF(A96&lt;'Données projet'!$A$36,$K$205^A96,IF(A96='Données projet'!$A$36,'Données projet'!$B$36,N95+M96-V95)))</f>
        <v>232.48888888888894</v>
      </c>
      <c r="O96" s="13">
        <f>N96*VLOOKUP('Données projet'!$B$9,Paramètres!$A$1:$I$89,3,0)*VLOOKUP('Données projet'!$B$9,Paramètres!$A$1:$I$89,5,0)</f>
        <v>210.35594666666671</v>
      </c>
      <c r="P96" s="13">
        <f t="shared" si="87"/>
        <v>52.013361332117725</v>
      </c>
      <c r="Q96" s="20">
        <f t="shared" si="54"/>
        <v>456.95987809788289</v>
      </c>
      <c r="R96" s="59">
        <f t="shared" si="55"/>
        <v>750.29321143121615</v>
      </c>
      <c r="S96" s="59">
        <f ca="1">AVERAGE(OFFSET($R$3,0,0,'Données projet'!$E$9+1,1))-AVERAGE(OFFSET($H$3,0,0,'Données projet'!$E$9+1,1))</f>
        <v>233.2883475283553</v>
      </c>
      <c r="T96" s="59">
        <f t="shared" si="88"/>
        <v>211.4485324078031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39.729664850382967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39.729664850382967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304.33</v>
      </c>
      <c r="AG96" s="12">
        <f>VLOOKUP(A96,'Données projet'!$A$61:$I$81,9,0)</f>
        <v>7.9879999999999969</v>
      </c>
      <c r="AH96" s="12">
        <f t="array" ref="AH96">INDEX(AG:AG,MIN(IF(ISNUMBER(AG96:AG292),ROW(AG96:AG292),"")))</f>
        <v>7.9879999999999969</v>
      </c>
      <c r="AI96" s="13">
        <f>IF('Données projet'!$A$62&gt;35,AI95+AH96-AQ95,IF(A96&lt;'Données projet'!$A$62,$AF$205^A96,IF(A96='Données projet'!$A$62,'Données projet'!$B$62,AI95+AH96-AQ95)))</f>
        <v>304.33000000000015</v>
      </c>
      <c r="AJ96" s="13">
        <f>AI96*VLOOKUP('Données projet'!$B$10,Paramètres!$A$1:$I$89,3,0)*VLOOKUP('Données projet'!$B$10,Paramètres!$A$1:$I$89,5,0)</f>
        <v>256.36759200000012</v>
      </c>
      <c r="AK96" s="13">
        <f t="shared" si="89"/>
        <v>61.947462492340996</v>
      </c>
      <c r="AL96" s="20">
        <f t="shared" si="58"/>
        <v>554.39871990749418</v>
      </c>
      <c r="AM96" s="59">
        <f t="shared" si="59"/>
        <v>847.73205324082755</v>
      </c>
      <c r="AN96" s="59">
        <f ca="1">AVERAGE(OFFSET($AM$3,0,0,'Données projet'!$E$10+1,1))-AVERAGE(OFFSET($H$3,0,0,'Données projet'!$E$10+1,1))</f>
        <v>206.25389915739601</v>
      </c>
      <c r="AO96" s="59">
        <f t="shared" si="90"/>
        <v>155.24154927193064</v>
      </c>
      <c r="AP96" s="15">
        <f>IF(ISNA(VLOOKUP(A96,'Données projet'!$A$61:$I$81,3,0)),0,VLOOKUP(A96,'Données projet'!$A$61:$I$81,3,0))</f>
        <v>8</v>
      </c>
      <c r="AQ96" s="15">
        <f>IF(ISNA(VLOOKUP(A96,'Données projet'!$A$61:$I$81,4,0)),0,VLOOKUP(A96,'Données projet'!$A$61:$I$81,4,0))</f>
        <v>59.26</v>
      </c>
      <c r="AR96" s="16">
        <f>IF(ISNA(VLOOKUP(A96,'Données projet'!$A$61:$I$81,5,0)),0%,VLOOKUP(A96,'Données projet'!$A$61:$I$81,5,0)*VLOOKUP('Données projet'!$B$10,Paramètres!$A$1:$I$89,7,0))</f>
        <v>0.25800000000000001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41.320823356492156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41.320823356492156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79.185599999999894</v>
      </c>
      <c r="D97" s="11">
        <f t="shared" si="86"/>
        <v>21.937940668679385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780.60277007401555</v>
      </c>
      <c r="H97" s="67">
        <f t="shared" si="56"/>
        <v>469.45683333128306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6.3777777777777782</v>
      </c>
      <c r="N97" s="13">
        <f>IF('Données projet'!$A$36&gt;35,N96+M97-V96,IF(A97&lt;'Données projet'!$A$36,$K$205^A97,IF(A97='Données projet'!$A$36,'Données projet'!$B$36,N96+M97-V96)))</f>
        <v>238.8666666666667</v>
      </c>
      <c r="O97" s="13">
        <f>N97*VLOOKUP('Données projet'!$B$9,Paramètres!$A$1:$I$89,3,0)*VLOOKUP('Données projet'!$B$9,Paramètres!$A$1:$I$89,5,0)</f>
        <v>216.12656000000004</v>
      </c>
      <c r="P97" s="13">
        <f t="shared" si="87"/>
        <v>53.272144300979811</v>
      </c>
      <c r="Q97" s="20">
        <f t="shared" si="54"/>
        <v>469.20274332420655</v>
      </c>
      <c r="R97" s="59">
        <f t="shared" si="55"/>
        <v>762.53607665753987</v>
      </c>
      <c r="S97" s="59">
        <f ca="1">AVERAGE(OFFSET($R$3,0,0,'Données projet'!$E$9+1,1))-AVERAGE(OFFSET($H$3,0,0,'Données projet'!$E$9+1,1))</f>
        <v>233.2883475283553</v>
      </c>
      <c r="T97" s="59">
        <f t="shared" si="88"/>
        <v>211.4485324078031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38.950590355369734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38.950590355369734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7.7120000000000006</v>
      </c>
      <c r="AI97" s="13">
        <f>IF('Données projet'!$A$62&gt;35,AI96+AH97-AQ96,IF(A97&lt;'Données projet'!$A$62,$AF$205^A97,IF(A97='Données projet'!$A$62,'Données projet'!$B$62,AI96+AH97-AQ96)))</f>
        <v>252.78200000000015</v>
      </c>
      <c r="AJ97" s="13">
        <f>AI97*VLOOKUP('Données projet'!$B$10,Paramètres!$A$1:$I$89,3,0)*VLOOKUP('Données projet'!$B$10,Paramètres!$A$1:$I$89,5,0)</f>
        <v>212.94355680000015</v>
      </c>
      <c r="AK97" s="13">
        <f t="shared" si="89"/>
        <v>52.578304887940781</v>
      </c>
      <c r="AL97" s="20">
        <f t="shared" si="58"/>
        <v>462.45057577316379</v>
      </c>
      <c r="AM97" s="59">
        <f t="shared" si="59"/>
        <v>755.78390910649705</v>
      </c>
      <c r="AN97" s="59">
        <f ca="1">AVERAGE(OFFSET($AM$3,0,0,'Données projet'!$E$10+1,1))-AVERAGE(OFFSET($H$3,0,0,'Données projet'!$E$10+1,1))</f>
        <v>206.25389915739601</v>
      </c>
      <c r="AO97" s="59">
        <f t="shared" si="90"/>
        <v>155.24154927193064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40.51054721368498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40.51054721368498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80.027999999999892</v>
      </c>
      <c r="D98" s="11">
        <f t="shared" si="86"/>
        <v>22.144030134787116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788.69637297028567</v>
      </c>
      <c r="H98" s="67">
        <f t="shared" si="56"/>
        <v>471.28295248475399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6.3777777777777782</v>
      </c>
      <c r="N98" s="13">
        <f>IF('Données projet'!$A$36&gt;35,N97+M98-V97,IF(A98&lt;'Données projet'!$A$36,$K$205^A98,IF(A98='Données projet'!$A$36,'Données projet'!$B$36,N97+M98-V97)))</f>
        <v>245.24444444444447</v>
      </c>
      <c r="O98" s="13">
        <f>N98*VLOOKUP('Données projet'!$B$9,Paramètres!$A$1:$I$89,3,0)*VLOOKUP('Données projet'!$B$9,Paramètres!$A$1:$I$89,5,0)</f>
        <v>221.89717333333334</v>
      </c>
      <c r="P98" s="13">
        <f t="shared" si="87"/>
        <v>54.527020682772211</v>
      </c>
      <c r="Q98" s="20">
        <f t="shared" si="54"/>
        <v>481.43880457805045</v>
      </c>
      <c r="R98" s="59">
        <f t="shared" si="55"/>
        <v>774.77213791138377</v>
      </c>
      <c r="S98" s="59">
        <f ca="1">AVERAGE(OFFSET($R$3,0,0,'Données projet'!$E$9+1,1))-AVERAGE(OFFSET($H$3,0,0,'Données projet'!$E$9+1,1))</f>
        <v>233.2883475283553</v>
      </c>
      <c r="T98" s="59">
        <f t="shared" si="88"/>
        <v>211.4485324078031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38.186793036015189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38.186793036015189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7.7120000000000006</v>
      </c>
      <c r="AI98" s="13">
        <f>IF('Données projet'!$A$62&gt;35,AI97+AH98-AQ97,IF(A98&lt;'Données projet'!$A$62,$AF$205^A98,IF(A98='Données projet'!$A$62,'Données projet'!$B$62,AI97+AH98-AQ97)))</f>
        <v>260.49400000000014</v>
      </c>
      <c r="AJ98" s="13">
        <f>AI98*VLOOKUP('Données projet'!$B$10,Paramètres!$A$1:$I$89,3,0)*VLOOKUP('Données projet'!$B$10,Paramètres!$A$1:$I$89,5,0)</f>
        <v>219.44014560000016</v>
      </c>
      <c r="AK98" s="13">
        <f t="shared" si="89"/>
        <v>53.993186093910936</v>
      </c>
      <c r="AL98" s="20">
        <f t="shared" si="58"/>
        <v>476.2297193668951</v>
      </c>
      <c r="AM98" s="59">
        <f t="shared" si="59"/>
        <v>769.56305270022835</v>
      </c>
      <c r="AN98" s="59">
        <f ca="1">AVERAGE(OFFSET($AM$3,0,0,'Données projet'!$E$10+1,1))-AVERAGE(OFFSET($H$3,0,0,'Données projet'!$E$10+1,1))</f>
        <v>206.25389915739601</v>
      </c>
      <c r="AO98" s="59">
        <f t="shared" si="90"/>
        <v>155.24154927193064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39.716160091818608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39.716160091818608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80.87039999999989</v>
      </c>
      <c r="D99" s="11">
        <f t="shared" si="86"/>
        <v>22.34986723677077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796.78802779261571</v>
      </c>
      <c r="H99" s="67">
        <f t="shared" si="56"/>
        <v>473.10863210404221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6.3777777777777782</v>
      </c>
      <c r="N99" s="13">
        <f>IF('Données projet'!$A$36&gt;35,N98+M99-V98,IF(A99&lt;'Données projet'!$A$36,$K$205^A99,IF(A99='Données projet'!$A$36,'Données projet'!$B$36,N98+M99-V98)))</f>
        <v>251.62222222222223</v>
      </c>
      <c r="O99" s="13">
        <f>N99*VLOOKUP('Données projet'!$B$9,Paramètres!$A$1:$I$89,3,0)*VLOOKUP('Données projet'!$B$9,Paramètres!$A$1:$I$89,5,0)</f>
        <v>227.66778666666667</v>
      </c>
      <c r="P99" s="13">
        <f t="shared" si="87"/>
        <v>55.778103751296477</v>
      </c>
      <c r="Q99" s="20">
        <f t="shared" ref="Q99:Q130" si="107">(O99+P99)*0.475*44/12</f>
        <v>493.66825914461907</v>
      </c>
      <c r="R99" s="59">
        <f t="shared" si="55"/>
        <v>787.00159247795239</v>
      </c>
      <c r="S99" s="59">
        <f ca="1">AVERAGE(OFFSET($R$3,0,0,'Données projet'!$E$9+1,1))-AVERAGE(OFFSET($H$3,0,0,'Données projet'!$E$9+1,1))</f>
        <v>233.2883475283553</v>
      </c>
      <c r="T99" s="59">
        <f t="shared" si="88"/>
        <v>211.4485324078031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37.437973316222823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37.437973316222823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7.7120000000000006</v>
      </c>
      <c r="AI99" s="13">
        <f>IF('Données projet'!$A$62&gt;35,AI98+AH99-AQ98,IF(A99&lt;'Données projet'!$A$62,$AF$205^A99,IF(A99='Données projet'!$A$62,'Données projet'!$B$62,AI98+AH99-AQ98)))</f>
        <v>268.20600000000013</v>
      </c>
      <c r="AJ99" s="13">
        <f>AI99*VLOOKUP('Données projet'!$B$10,Paramètres!$A$1:$I$89,3,0)*VLOOKUP('Données projet'!$B$10,Paramètres!$A$1:$I$89,5,0)</f>
        <v>225.93673440000015</v>
      </c>
      <c r="AK99" s="13">
        <f t="shared" si="89"/>
        <v>55.403199180664444</v>
      </c>
      <c r="AL99" s="20">
        <f t="shared" si="58"/>
        <v>490.00038431965748</v>
      </c>
      <c r="AM99" s="59">
        <f t="shared" si="59"/>
        <v>783.3337176529908</v>
      </c>
      <c r="AN99" s="59">
        <f ca="1">AVERAGE(OFFSET($AM$3,0,0,'Données projet'!$E$10+1,1))-AVERAGE(OFFSET($H$3,0,0,'Données projet'!$E$10+1,1))</f>
        <v>206.25389915739601</v>
      </c>
      <c r="AO99" s="59">
        <f t="shared" si="90"/>
        <v>155.24154927193064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38.937350416883731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38.937350416883731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81.712799999999888</v>
      </c>
      <c r="D100" s="11">
        <f t="shared" si="86"/>
        <v>22.555454907742881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804.87775718257581</v>
      </c>
      <c r="H100" s="67">
        <f t="shared" si="56"/>
        <v>474.93387729765197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>
        <f>VLOOKUP(A100,'Données projet'!$A$35:$I$55,2,0)</f>
        <v>258</v>
      </c>
      <c r="L100" s="12">
        <f>VLOOKUP(A100,'Données projet'!$A$35:$I$55,9,0)</f>
        <v>6.3777777777777782</v>
      </c>
      <c r="M100" s="12">
        <f t="array" ref="M100">INDEX(L:L,MIN(IF(ISNUMBER(L100:L296),ROW(L100:L296),"")))</f>
        <v>6.3777777777777782</v>
      </c>
      <c r="N100" s="13">
        <f>IF('Données projet'!$A$36&gt;35,N99+M100-V99,IF(A100&lt;'Données projet'!$A$36,$K$205^A100,IF(A100='Données projet'!$A$36,'Données projet'!$B$36,N99+M100-V99)))</f>
        <v>258</v>
      </c>
      <c r="O100" s="13">
        <f>N100*VLOOKUP('Données projet'!$B$9,Paramètres!$A$1:$I$89,3,0)*VLOOKUP('Données projet'!$B$9,Paramètres!$A$1:$I$89,5,0)</f>
        <v>233.43839999999997</v>
      </c>
      <c r="P100" s="13">
        <f t="shared" si="87"/>
        <v>57.025500710931624</v>
      </c>
      <c r="Q100" s="20">
        <f t="shared" si="107"/>
        <v>505.89129373820583</v>
      </c>
      <c r="R100" s="59">
        <f t="shared" si="55"/>
        <v>799.22462707153909</v>
      </c>
      <c r="S100" s="59">
        <f ca="1">AVERAGE(OFFSET($R$3,0,0,'Données projet'!$E$9+1,1))-AVERAGE(OFFSET($H$3,0,0,'Données projet'!$E$9+1,1))</f>
        <v>233.2883475283553</v>
      </c>
      <c r="T100" s="59">
        <f t="shared" si="88"/>
        <v>211.4485324078031</v>
      </c>
      <c r="U100" s="15">
        <f>IF(ISNA(VLOOKUP(A100,'Données projet'!$A$35:$I$55,3,0)),0,VLOOKUP(A100,'Données projet'!$A$35:$I$55,3,0))</f>
        <v>8</v>
      </c>
      <c r="V100" s="15">
        <f>IF(ISNA(VLOOKUP(A100,'Données projet'!$A$35:$I$55,4,0)),0,VLOOKUP(A100,'Données projet'!$A$35:$I$55,4,0))</f>
        <v>44.17</v>
      </c>
      <c r="W100" s="16">
        <f>IF(ISNA(VLOOKUP(A100,'Données projet'!$A$35:$I$55,5,0)),0%,VLOOKUP(A100,'Données projet'!$A$35:$I$55,5,0)*VLOOKUP('Données projet'!$B$9,Paramètres!$A$1:$I$89,7,0))</f>
        <v>0.25800000000000001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48.102313977035251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48.102313977035251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7.7120000000000006</v>
      </c>
      <c r="AI100" s="13">
        <f>IF('Données projet'!$A$62&gt;35,AI99+AH100-AQ99,IF(A100&lt;'Données projet'!$A$62,$AF$205^A100,IF(A100='Données projet'!$A$62,'Données projet'!$B$62,AI99+AH100-AQ99)))</f>
        <v>275.91800000000012</v>
      </c>
      <c r="AJ100" s="13">
        <f>AI100*VLOOKUP('Données projet'!$B$10,Paramètres!$A$1:$I$89,3,0)*VLOOKUP('Données projet'!$B$10,Paramètres!$A$1:$I$89,5,0)</f>
        <v>232.4333232000001</v>
      </c>
      <c r="AK100" s="13">
        <f t="shared" si="89"/>
        <v>56.808500201978752</v>
      </c>
      <c r="AL100" s="20">
        <f t="shared" si="58"/>
        <v>503.76284242511315</v>
      </c>
      <c r="AM100" s="59">
        <f t="shared" si="59"/>
        <v>797.09617575844641</v>
      </c>
      <c r="AN100" s="59">
        <f ca="1">AVERAGE(OFFSET($AM$3,0,0,'Données projet'!$E$10+1,1))-AVERAGE(OFFSET($H$3,0,0,'Données projet'!$E$10+1,1))</f>
        <v>206.25389915739601</v>
      </c>
      <c r="AO100" s="59">
        <f t="shared" si="90"/>
        <v>155.24154927193064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38.173812724647334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38.173812724647334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82.555199999999886</v>
      </c>
      <c r="D101" s="11">
        <f t="shared" si="86"/>
        <v>22.760796016854759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812.96558328800074</v>
      </c>
      <c r="H101" s="67">
        <f t="shared" si="56"/>
        <v>476.75869306268845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6.2180000000000009</v>
      </c>
      <c r="N101" s="13">
        <f>IF('Données projet'!$A$36&gt;35,N100+M101-V100,IF(A101&lt;'Données projet'!$A$36,$K$205^A101,IF(A101='Données projet'!$A$36,'Données projet'!$B$36,N100+M101-V100)))</f>
        <v>220.048</v>
      </c>
      <c r="O101" s="13">
        <f>N101*VLOOKUP('Données projet'!$B$9,Paramètres!$A$1:$I$89,3,0)*VLOOKUP('Données projet'!$B$9,Paramètres!$A$1:$I$89,5,0)</f>
        <v>199.09943039999999</v>
      </c>
      <c r="P101" s="13">
        <f t="shared" si="87"/>
        <v>49.54619783019939</v>
      </c>
      <c r="Q101" s="20">
        <f t="shared" si="107"/>
        <v>433.05780250093056</v>
      </c>
      <c r="R101" s="59">
        <f t="shared" si="55"/>
        <v>726.39113583426388</v>
      </c>
      <c r="S101" s="59">
        <f ca="1">AVERAGE(OFFSET($R$3,0,0,'Données projet'!$E$9+1,1))-AVERAGE(OFFSET($H$3,0,0,'Données projet'!$E$9+1,1))</f>
        <v>233.2883475283553</v>
      </c>
      <c r="T101" s="59">
        <f t="shared" si="88"/>
        <v>211.4485324078031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47.159056939460079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47.159056939460079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7.7120000000000006</v>
      </c>
      <c r="AI101" s="13">
        <f>IF('Données projet'!$A$62&gt;35,AI100+AH101-AQ100,IF(A101&lt;'Données projet'!$A$62,$AF$205^A101,IF(A101='Données projet'!$A$62,'Données projet'!$B$62,AI100+AH101-AQ100)))</f>
        <v>283.63000000000011</v>
      </c>
      <c r="AJ101" s="13">
        <f>AI101*VLOOKUP('Données projet'!$B$10,Paramètres!$A$1:$I$89,3,0)*VLOOKUP('Données projet'!$B$10,Paramètres!$A$1:$I$89,5,0)</f>
        <v>238.92991200000012</v>
      </c>
      <c r="AK101" s="13">
        <f t="shared" si="89"/>
        <v>58.209235991783075</v>
      </c>
      <c r="AL101" s="20">
        <f t="shared" si="58"/>
        <v>517.51734941902237</v>
      </c>
      <c r="AM101" s="59">
        <f t="shared" si="59"/>
        <v>810.85068275235562</v>
      </c>
      <c r="AN101" s="59">
        <f ca="1">AVERAGE(OFFSET($AM$3,0,0,'Données projet'!$E$10+1,1))-AVERAGE(OFFSET($H$3,0,0,'Données projet'!$E$10+1,1))</f>
        <v>206.25389915739601</v>
      </c>
      <c r="AO101" s="59">
        <f t="shared" si="90"/>
        <v>155.24154927193064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37.425247540843685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37.425247540843685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83.397599999999883</v>
      </c>
      <c r="D102" s="11">
        <f t="shared" si="86"/>
        <v>22.965893371329273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821.05152777868125</v>
      </c>
      <c r="H102" s="67">
        <f t="shared" si="56"/>
        <v>478.58308428839825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6.2180000000000009</v>
      </c>
      <c r="N102" s="13">
        <f>IF('Données projet'!$A$36&gt;35,N101+M102-V101,IF(A102&lt;'Données projet'!$A$36,$K$205^A102,IF(A102='Données projet'!$A$36,'Données projet'!$B$36,N101+M102-V101)))</f>
        <v>226.26599999999999</v>
      </c>
      <c r="O102" s="13">
        <f>N102*VLOOKUP('Données projet'!$B$9,Paramètres!$A$1:$I$89,3,0)*VLOOKUP('Données projet'!$B$9,Paramètres!$A$1:$I$89,5,0)</f>
        <v>204.7254768</v>
      </c>
      <c r="P102" s="13">
        <f t="shared" si="87"/>
        <v>50.781268823111077</v>
      </c>
      <c r="Q102" s="20">
        <f t="shared" si="107"/>
        <v>445.0075819602518</v>
      </c>
      <c r="R102" s="59">
        <f t="shared" si="55"/>
        <v>738.34091529358511</v>
      </c>
      <c r="S102" s="59">
        <f ca="1">AVERAGE(OFFSET($R$3,0,0,'Données projet'!$E$9+1,1))-AVERAGE(OFFSET($H$3,0,0,'Données projet'!$E$9+1,1))</f>
        <v>233.2883475283553</v>
      </c>
      <c r="T102" s="59">
        <f t="shared" si="88"/>
        <v>211.4485324078031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46.234296597061771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46.234296597061771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7.7120000000000006</v>
      </c>
      <c r="AI102" s="13">
        <f>IF('Données projet'!$A$62&gt;35,AI101+AH102-AQ101,IF(A102&lt;'Données projet'!$A$62,$AF$205^A102,IF(A102='Données projet'!$A$62,'Données projet'!$B$62,AI101+AH102-AQ101)))</f>
        <v>291.3420000000001</v>
      </c>
      <c r="AJ102" s="13">
        <f>AI102*VLOOKUP('Données projet'!$B$10,Paramètres!$A$1:$I$89,3,0)*VLOOKUP('Données projet'!$B$10,Paramètres!$A$1:$I$89,5,0)</f>
        <v>245.4265008000001</v>
      </c>
      <c r="AK102" s="13">
        <f t="shared" si="89"/>
        <v>59.605544944565871</v>
      </c>
      <c r="AL102" s="20">
        <f t="shared" si="58"/>
        <v>531.26414633845241</v>
      </c>
      <c r="AM102" s="59">
        <f t="shared" si="59"/>
        <v>824.59747967178578</v>
      </c>
      <c r="AN102" s="59">
        <f ca="1">AVERAGE(OFFSET($AM$3,0,0,'Données projet'!$E$10+1,1))-AVERAGE(OFFSET($H$3,0,0,'Données projet'!$E$10+1,1))</f>
        <v>206.25389915739601</v>
      </c>
      <c r="AO102" s="59">
        <f t="shared" si="90"/>
        <v>155.24154927193064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36.691361263714747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36.691361263714747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84.239999999999881</v>
      </c>
      <c r="D103" s="11">
        <f t="shared" si="86"/>
        <v>23.170749718409446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829.13561186140532</v>
      </c>
      <c r="H103" s="67">
        <f t="shared" si="56"/>
        <v>480.40705575956292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6.2180000000000009</v>
      </c>
      <c r="N103" s="13">
        <f>IF('Données projet'!$A$36&gt;35,N102+M103-V102,IF(A103&lt;'Données projet'!$A$36,$K$205^A103,IF(A103='Données projet'!$A$36,'Données projet'!$B$36,N102+M103-V102)))</f>
        <v>232.48399999999998</v>
      </c>
      <c r="O103" s="13">
        <f>N103*VLOOKUP('Données projet'!$B$9,Paramètres!$A$1:$I$89,3,0)*VLOOKUP('Données projet'!$B$9,Paramètres!$A$1:$I$89,5,0)</f>
        <v>210.35152319999997</v>
      </c>
      <c r="P103" s="13">
        <f t="shared" si="87"/>
        <v>52.012394882709344</v>
      </c>
      <c r="Q103" s="20">
        <f t="shared" si="107"/>
        <v>456.95049066071874</v>
      </c>
      <c r="R103" s="59">
        <f t="shared" si="55"/>
        <v>750.283823994052</v>
      </c>
      <c r="S103" s="59">
        <f ca="1">AVERAGE(OFFSET($R$3,0,0,'Données projet'!$E$9+1,1))-AVERAGE(OFFSET($H$3,0,0,'Données projet'!$E$9+1,1))</f>
        <v>233.2883475283553</v>
      </c>
      <c r="T103" s="59">
        <f t="shared" si="88"/>
        <v>211.4485324078031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45.327670240929784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45.327670240929784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7.7120000000000006</v>
      </c>
      <c r="AI103" s="13">
        <f>IF('Données projet'!$A$62&gt;35,AI102+AH103-AQ102,IF(A103&lt;'Données projet'!$A$62,$AF$205^A103,IF(A103='Données projet'!$A$62,'Données projet'!$B$62,AI102+AH103-AQ102)))</f>
        <v>299.05400000000009</v>
      </c>
      <c r="AJ103" s="13">
        <f>AI103*VLOOKUP('Données projet'!$B$10,Paramètres!$A$1:$I$89,3,0)*VLOOKUP('Données projet'!$B$10,Paramètres!$A$1:$I$89,5,0)</f>
        <v>251.92308960000008</v>
      </c>
      <c r="AK103" s="13">
        <f t="shared" si="89"/>
        <v>60.997557710826641</v>
      </c>
      <c r="AL103" s="20">
        <f t="shared" si="58"/>
        <v>545.00346073302319</v>
      </c>
      <c r="AM103" s="59">
        <f t="shared" si="59"/>
        <v>838.33679406635656</v>
      </c>
      <c r="AN103" s="59">
        <f ca="1">AVERAGE(OFFSET($AM$3,0,0,'Données projet'!$E$10+1,1))-AVERAGE(OFFSET($H$3,0,0,'Données projet'!$E$10+1,1))</f>
        <v>206.25389915739601</v>
      </c>
      <c r="AO103" s="59">
        <f t="shared" si="90"/>
        <v>155.24154927193064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35.971866048853876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35.971866048853876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85.082399999999879</v>
      </c>
      <c r="D104" s="11">
        <f t="shared" si="86"/>
        <v>23.375367747226495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837.21785629437909</v>
      </c>
      <c r="H104" s="67">
        <f t="shared" si="56"/>
        <v>482.23061215975258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6.2180000000000009</v>
      </c>
      <c r="N104" s="13">
        <f>IF('Données projet'!$A$36&gt;35,N103+M104-V103,IF(A104&lt;'Données projet'!$A$36,$K$205^A104,IF(A104='Données projet'!$A$36,'Données projet'!$B$36,N103+M104-V103)))</f>
        <v>238.70199999999997</v>
      </c>
      <c r="O104" s="13">
        <f>N104*VLOOKUP('Données projet'!$B$9,Paramètres!$A$1:$I$89,3,0)*VLOOKUP('Données projet'!$B$9,Paramètres!$A$1:$I$89,5,0)</f>
        <v>215.97756959999995</v>
      </c>
      <c r="P104" s="13">
        <f t="shared" si="87"/>
        <v>53.239693646589366</v>
      </c>
      <c r="Q104" s="20">
        <f t="shared" si="107"/>
        <v>468.88673348780975</v>
      </c>
      <c r="R104" s="59">
        <f t="shared" si="55"/>
        <v>762.22006682114306</v>
      </c>
      <c r="S104" s="59">
        <f ca="1">AVERAGE(OFFSET($R$3,0,0,'Données projet'!$E$9+1,1))-AVERAGE(OFFSET($H$3,0,0,'Données projet'!$E$9+1,1))</f>
        <v>233.2883475283553</v>
      </c>
      <c r="T104" s="59">
        <f t="shared" si="88"/>
        <v>211.4485324078031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44.438822274654072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44.438822274654072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7.7120000000000006</v>
      </c>
      <c r="AI104" s="13">
        <f>IF('Données projet'!$A$62&gt;35,AI103+AH104-AQ103,IF(A104&lt;'Données projet'!$A$62,$AF$205^A104,IF(A104='Données projet'!$A$62,'Données projet'!$B$62,AI103+AH104-AQ103)))</f>
        <v>306.76600000000008</v>
      </c>
      <c r="AJ104" s="13">
        <f>AI104*VLOOKUP('Données projet'!$B$10,Paramètres!$A$1:$I$89,3,0)*VLOOKUP('Données projet'!$B$10,Paramètres!$A$1:$I$89,5,0)</f>
        <v>258.41967840000007</v>
      </c>
      <c r="AK104" s="13">
        <f t="shared" si="89"/>
        <v>62.385397818771914</v>
      </c>
      <c r="AL104" s="20">
        <f t="shared" si="58"/>
        <v>558.73550774769456</v>
      </c>
      <c r="AM104" s="59">
        <f t="shared" si="59"/>
        <v>852.06884108102781</v>
      </c>
      <c r="AN104" s="59">
        <f ca="1">AVERAGE(OFFSET($AM$3,0,0,'Données projet'!$E$10+1,1))-AVERAGE(OFFSET($H$3,0,0,'Données projet'!$E$10+1,1))</f>
        <v>206.25389915739601</v>
      </c>
      <c r="AO104" s="59">
        <f t="shared" si="90"/>
        <v>155.24154927193064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35.266479696307677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35.266479696307677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85.924799999999877</v>
      </c>
      <c r="D105" s="11">
        <f t="shared" si="86"/>
        <v>23.57975009059216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845.29828140106144</v>
      </c>
      <c r="H105" s="67">
        <f t="shared" si="56"/>
        <v>484.05375807444773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6.2180000000000009</v>
      </c>
      <c r="N105" s="13">
        <f>IF('Données projet'!$A$36&gt;35,N104+M105-V104,IF(A105&lt;'Données projet'!$A$36,$K$205^A105,IF(A105='Données projet'!$A$36,'Données projet'!$B$36,N104+M105-V104)))</f>
        <v>244.91999999999996</v>
      </c>
      <c r="O105" s="13">
        <f>N105*VLOOKUP('Données projet'!$B$9,Paramètres!$A$1:$I$89,3,0)*VLOOKUP('Données projet'!$B$9,Paramètres!$A$1:$I$89,5,0)</f>
        <v>221.60361599999996</v>
      </c>
      <c r="P105" s="13">
        <f t="shared" si="87"/>
        <v>54.463276274531161</v>
      </c>
      <c r="Q105" s="20">
        <f t="shared" si="107"/>
        <v>480.81650404480843</v>
      </c>
      <c r="R105" s="59">
        <f t="shared" si="55"/>
        <v>774.14983737814168</v>
      </c>
      <c r="S105" s="59">
        <f ca="1">AVERAGE(OFFSET($R$3,0,0,'Données projet'!$E$9+1,1))-AVERAGE(OFFSET($H$3,0,0,'Données projet'!$E$9+1,1))</f>
        <v>233.2883475283553</v>
      </c>
      <c r="T105" s="59">
        <f t="shared" si="88"/>
        <v>211.4485324078031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43.567404074853293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43.567404074853293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7.7120000000000006</v>
      </c>
      <c r="AI105" s="13">
        <f>IF('Données projet'!$A$62&gt;35,AI104+AH105-AQ104,IF(A105&lt;'Données projet'!$A$62,$AF$205^A105,IF(A105='Données projet'!$A$62,'Données projet'!$B$62,AI104+AH105-AQ104)))</f>
        <v>314.47800000000007</v>
      </c>
      <c r="AJ105" s="13">
        <f>AI105*VLOOKUP('Données projet'!$B$10,Paramètres!$A$1:$I$89,3,0)*VLOOKUP('Données projet'!$B$10,Paramètres!$A$1:$I$89,5,0)</f>
        <v>264.91626720000011</v>
      </c>
      <c r="AK105" s="13">
        <f t="shared" si="89"/>
        <v>63.769182231734497</v>
      </c>
      <c r="AL105" s="20">
        <f t="shared" si="58"/>
        <v>572.46049109360445</v>
      </c>
      <c r="AM105" s="59">
        <f t="shared" si="59"/>
        <v>865.79382442693782</v>
      </c>
      <c r="AN105" s="59">
        <f ca="1">AVERAGE(OFFSET($AM$3,0,0,'Données projet'!$E$10+1,1))-AVERAGE(OFFSET($H$3,0,0,'Données projet'!$E$10+1,1))</f>
        <v>206.25389915739601</v>
      </c>
      <c r="AO105" s="59">
        <f t="shared" si="90"/>
        <v>155.24154927193064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34.574925539891723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34.574925539891723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86.767199999999875</v>
      </c>
      <c r="D106" s="11">
        <f t="shared" si="86"/>
        <v>23.783899326718423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853.37690708343951</v>
      </c>
      <c r="H106" s="67">
        <f t="shared" si="56"/>
        <v>485.87649799403437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6.2180000000000009</v>
      </c>
      <c r="N106" s="13">
        <f>IF('Données projet'!$A$36&gt;35,N105+M106-V105,IF(A106&lt;'Données projet'!$A$36,$K$205^A106,IF(A106='Données projet'!$A$36,'Données projet'!$B$36,N105+M106-V105)))</f>
        <v>251.13799999999995</v>
      </c>
      <c r="O106" s="13">
        <f>N106*VLOOKUP('Données projet'!$B$9,Paramètres!$A$1:$I$89,3,0)*VLOOKUP('Données projet'!$B$9,Paramètres!$A$1:$I$89,5,0)</f>
        <v>227.22966239999994</v>
      </c>
      <c r="P106" s="13">
        <f t="shared" si="87"/>
        <v>55.683247960481921</v>
      </c>
      <c r="Q106" s="20">
        <f t="shared" si="107"/>
        <v>492.73998554450594</v>
      </c>
      <c r="R106" s="59">
        <f t="shared" si="55"/>
        <v>786.07331887783926</v>
      </c>
      <c r="S106" s="59">
        <f ca="1">AVERAGE(OFFSET($R$3,0,0,'Données projet'!$E$9+1,1))-AVERAGE(OFFSET($H$3,0,0,'Données projet'!$E$9+1,1))</f>
        <v>233.2883475283553</v>
      </c>
      <c r="T106" s="59">
        <f t="shared" si="88"/>
        <v>211.4485324078031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42.713073854437994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42.713073854437994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322.19</v>
      </c>
      <c r="AG106" s="12">
        <f>VLOOKUP(A106,'Données projet'!$A$61:$I$81,9,0)</f>
        <v>7.7120000000000006</v>
      </c>
      <c r="AH106" s="12">
        <f t="array" ref="AH106">INDEX(AG:AG,MIN(IF(ISNUMBER(AG106:AG302),ROW(AG106:AG302),"")))</f>
        <v>7.7120000000000006</v>
      </c>
      <c r="AI106" s="13">
        <f>IF('Données projet'!$A$62&gt;35,AI105+AH106-AQ105,IF(A106&lt;'Données projet'!$A$62,$AF$205^A106,IF(A106='Données projet'!$A$62,'Données projet'!$B$62,AI105+AH106-AQ105)))</f>
        <v>322.19000000000005</v>
      </c>
      <c r="AJ106" s="13">
        <f>AI106*VLOOKUP('Données projet'!$B$10,Paramètres!$A$1:$I$89,3,0)*VLOOKUP('Données projet'!$B$10,Paramètres!$A$1:$I$89,5,0)</f>
        <v>271.41285600000009</v>
      </c>
      <c r="AK106" s="13">
        <f t="shared" si="89"/>
        <v>65.149021849374975</v>
      </c>
      <c r="AL106" s="20">
        <f t="shared" si="58"/>
        <v>586.17860392099487</v>
      </c>
      <c r="AM106" s="59">
        <f t="shared" si="59"/>
        <v>879.51193725432813</v>
      </c>
      <c r="AN106" s="59">
        <f ca="1">AVERAGE(OFFSET($AM$3,0,0,'Données projet'!$E$10+1,1))-AVERAGE(OFFSET($H$3,0,0,'Données projet'!$E$10+1,1))</f>
        <v>206.25389915739601</v>
      </c>
      <c r="AO106" s="59">
        <f t="shared" si="90"/>
        <v>155.24154927193064</v>
      </c>
      <c r="AP106" s="15">
        <f>IF(ISNA(VLOOKUP(A106,'Données projet'!$A$61:$I$81,3,0)),0,VLOOKUP(A106,'Données projet'!$A$61:$I$81,3,0))</f>
        <v>9</v>
      </c>
      <c r="AQ106" s="15">
        <f>IF(ISNA(VLOOKUP(A106,'Données projet'!$A$61:$I$81,4,0)),0,VLOOKUP(A106,'Données projet'!$A$61:$I$81,4,0))</f>
        <v>58.98</v>
      </c>
      <c r="AR106" s="16">
        <f>IF(ISNA(VLOOKUP(A106,'Données projet'!$A$61:$I$81,5,0)),0%,VLOOKUP(A106,'Données projet'!$A$61:$I$81,5,0)*VLOOKUP('Données projet'!$B$10,Paramètres!$A$1:$I$89,7,0))</f>
        <v>0.25800000000000001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48.067587924490347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48.067587924490347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87.609599999999872</v>
      </c>
      <c r="D107" s="11">
        <f t="shared" si="86"/>
        <v>23.987817980868755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861.4537528347754</v>
      </c>
      <c r="H107" s="67">
        <f t="shared" si="56"/>
        <v>487.69883631667949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6.2180000000000009</v>
      </c>
      <c r="N107" s="13">
        <f>IF('Données projet'!$A$36&gt;35,N106+M107-V106,IF(A107&lt;'Données projet'!$A$36,$K$205^A107,IF(A107='Données projet'!$A$36,'Données projet'!$B$36,N106+M107-V106)))</f>
        <v>257.35599999999994</v>
      </c>
      <c r="O107" s="13">
        <f>N107*VLOOKUP('Données projet'!$B$9,Paramètres!$A$1:$I$89,3,0)*VLOOKUP('Données projet'!$B$9,Paramètres!$A$1:$I$89,5,0)</f>
        <v>232.85570879999992</v>
      </c>
      <c r="P107" s="13">
        <f t="shared" si="87"/>
        <v>56.899708392405714</v>
      </c>
      <c r="Q107" s="20">
        <f t="shared" si="107"/>
        <v>504.65735161010639</v>
      </c>
      <c r="R107" s="59">
        <f t="shared" si="55"/>
        <v>797.99068494343965</v>
      </c>
      <c r="S107" s="59">
        <f ca="1">AVERAGE(OFFSET($R$3,0,0,'Données projet'!$E$9+1,1))-AVERAGE(OFFSET($H$3,0,0,'Données projet'!$E$9+1,1))</f>
        <v>233.2883475283553</v>
      </c>
      <c r="T107" s="59">
        <f t="shared" si="88"/>
        <v>211.4485324078031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41.875496528555054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41.875496528555054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7.456999999999999</v>
      </c>
      <c r="AI107" s="13">
        <f>IF('Données projet'!$A$62&gt;35,AI106+AH107-AQ106,IF(A107&lt;'Données projet'!$A$62,$AF$205^A107,IF(A107='Données projet'!$A$62,'Données projet'!$B$62,AI106+AH107-AQ106)))</f>
        <v>270.66700000000003</v>
      </c>
      <c r="AJ107" s="13">
        <f>AI107*VLOOKUP('Données projet'!$B$10,Paramètres!$A$1:$I$89,3,0)*VLOOKUP('Données projet'!$B$10,Paramètres!$A$1:$I$89,5,0)</f>
        <v>228.00988080000005</v>
      </c>
      <c r="AK107" s="13">
        <f t="shared" si="89"/>
        <v>55.852153831597562</v>
      </c>
      <c r="AL107" s="20">
        <f t="shared" si="58"/>
        <v>494.39304365003255</v>
      </c>
      <c r="AM107" s="59">
        <f t="shared" si="59"/>
        <v>787.72637698336587</v>
      </c>
      <c r="AN107" s="59">
        <f ca="1">AVERAGE(OFFSET($AM$3,0,0,'Données projet'!$E$10+1,1))-AVERAGE(OFFSET($H$3,0,0,'Données projet'!$E$10+1,1))</f>
        <v>206.25389915739601</v>
      </c>
      <c r="AO107" s="59">
        <f t="shared" si="90"/>
        <v>155.24154927193064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47.125011843624783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47.125011843624783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88.45199999999987</v>
      </c>
      <c r="D108" s="11">
        <f t="shared" si="86"/>
        <v>24.191508526943913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869.52883775184671</v>
      </c>
      <c r="H108" s="67">
        <f t="shared" si="56"/>
        <v>489.52077735109373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6.2180000000000009</v>
      </c>
      <c r="N108" s="13">
        <f>IF('Données projet'!$A$36&gt;35,N107+M108-V107,IF(A108&lt;'Données projet'!$A$36,$K$205^A108,IF(A108='Données projet'!$A$36,'Données projet'!$B$36,N107+M108-V107)))</f>
        <v>263.57399999999996</v>
      </c>
      <c r="O108" s="13">
        <f>N108*VLOOKUP('Données projet'!$B$9,Paramètres!$A$1:$I$89,3,0)*VLOOKUP('Données projet'!$B$9,Paramètres!$A$1:$I$89,5,0)</f>
        <v>238.48175519999995</v>
      </c>
      <c r="P108" s="13">
        <f t="shared" si="87"/>
        <v>58.112752166439428</v>
      </c>
      <c r="Q108" s="20">
        <f t="shared" si="107"/>
        <v>516.56876699654856</v>
      </c>
      <c r="R108" s="59">
        <f t="shared" si="55"/>
        <v>809.90210032988193</v>
      </c>
      <c r="S108" s="59">
        <f ca="1">AVERAGE(OFFSET($R$3,0,0,'Données projet'!$E$9+1,1))-AVERAGE(OFFSET($H$3,0,0,'Données projet'!$E$9+1,1))</f>
        <v>233.2883475283553</v>
      </c>
      <c r="T108" s="59">
        <f t="shared" si="88"/>
        <v>211.4485324078031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41.054343583160957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41.054343583160957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7.456999999999999</v>
      </c>
      <c r="AI108" s="13">
        <f>IF('Données projet'!$A$62&gt;35,AI107+AH108-AQ107,IF(A108&lt;'Données projet'!$A$62,$AF$205^A108,IF(A108='Données projet'!$A$62,'Données projet'!$B$62,AI107+AH108-AQ107)))</f>
        <v>278.12400000000002</v>
      </c>
      <c r="AJ108" s="13">
        <f>AI108*VLOOKUP('Données projet'!$B$10,Paramètres!$A$1:$I$89,3,0)*VLOOKUP('Données projet'!$B$10,Paramètres!$A$1:$I$89,5,0)</f>
        <v>234.29165760000006</v>
      </c>
      <c r="AK108" s="13">
        <f t="shared" si="89"/>
        <v>57.209637433767824</v>
      </c>
      <c r="AL108" s="20">
        <f t="shared" si="58"/>
        <v>507.69808885047905</v>
      </c>
      <c r="AM108" s="59">
        <f t="shared" si="59"/>
        <v>801.03142218381231</v>
      </c>
      <c r="AN108" s="59">
        <f ca="1">AVERAGE(OFFSET($AM$3,0,0,'Données projet'!$E$10+1,1))-AVERAGE(OFFSET($H$3,0,0,'Données projet'!$E$10+1,1))</f>
        <v>206.25389915739601</v>
      </c>
      <c r="AO108" s="59">
        <f t="shared" si="90"/>
        <v>155.24154927193064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46.200919104790351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46.200919104790351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89.294399999999868</v>
      </c>
      <c r="D109" s="11">
        <f t="shared" si="86"/>
        <v>24.394973389005632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877.60218054670906</v>
      </c>
      <c r="H109" s="67">
        <f t="shared" si="56"/>
        <v>491.34232531918451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6.2180000000000009</v>
      </c>
      <c r="N109" s="13">
        <f>IF('Données projet'!$A$36&gt;35,N108+M109-V108,IF(A109&lt;'Données projet'!$A$36,$K$205^A109,IF(A109='Données projet'!$A$36,'Données projet'!$B$36,N108+M109-V108)))</f>
        <v>269.79199999999997</v>
      </c>
      <c r="O109" s="13">
        <f>N109*VLOOKUP('Données projet'!$B$9,Paramètres!$A$1:$I$89,3,0)*VLOOKUP('Données projet'!$B$9,Paramètres!$A$1:$I$89,5,0)</f>
        <v>244.10780159999999</v>
      </c>
      <c r="P109" s="13">
        <f t="shared" si="87"/>
        <v>59.322469160866788</v>
      </c>
      <c r="Q109" s="20">
        <f t="shared" si="107"/>
        <v>528.47438824184292</v>
      </c>
      <c r="R109" s="59">
        <f t="shared" si="55"/>
        <v>821.80772157517617</v>
      </c>
      <c r="S109" s="59">
        <f ca="1">AVERAGE(OFFSET($R$3,0,0,'Données projet'!$E$9+1,1))-AVERAGE(OFFSET($H$3,0,0,'Données projet'!$E$9+1,1))</f>
        <v>233.2883475283553</v>
      </c>
      <c r="T109" s="59">
        <f t="shared" si="88"/>
        <v>211.4485324078031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40.249292946172197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40.249292946172197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7.456999999999999</v>
      </c>
      <c r="AI109" s="13">
        <f>IF('Données projet'!$A$62&gt;35,AI108+AH109-AQ108,IF(A109&lt;'Données projet'!$A$62,$AF$205^A109,IF(A109='Données projet'!$A$62,'Données projet'!$B$62,AI108+AH109-AQ108)))</f>
        <v>285.58100000000002</v>
      </c>
      <c r="AJ109" s="13">
        <f>AI109*VLOOKUP('Données projet'!$B$10,Paramètres!$A$1:$I$89,3,0)*VLOOKUP('Données projet'!$B$10,Paramètres!$A$1:$I$89,5,0)</f>
        <v>240.57343440000005</v>
      </c>
      <c r="AK109" s="13">
        <f t="shared" si="89"/>
        <v>58.562890545465834</v>
      </c>
      <c r="AL109" s="20">
        <f t="shared" si="58"/>
        <v>520.99576594668645</v>
      </c>
      <c r="AM109" s="59">
        <f t="shared" si="59"/>
        <v>814.32909928001982</v>
      </c>
      <c r="AN109" s="59">
        <f ca="1">AVERAGE(OFFSET($AM$3,0,0,'Données projet'!$E$10+1,1))-AVERAGE(OFFSET($H$3,0,0,'Données projet'!$E$10+1,1))</f>
        <v>206.25389915739601</v>
      </c>
      <c r="AO109" s="59">
        <f t="shared" si="90"/>
        <v>155.24154927193064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45.294947260923543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45.294947260923543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90.136799999999866</v>
      </c>
      <c r="D110" s="11">
        <f t="shared" si="86"/>
        <v>24.598214942741151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885.67379955800095</v>
      </c>
      <c r="H110" s="67">
        <f t="shared" si="56"/>
        <v>493.16348435860726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>
        <f>VLOOKUP(A110,'Données projet'!$A$35:$I$55,2,0)</f>
        <v>276.01</v>
      </c>
      <c r="L110" s="12">
        <f>VLOOKUP(A110,'Données projet'!$A$35:$I$55,9,0)</f>
        <v>6.2180000000000009</v>
      </c>
      <c r="M110" s="12">
        <f t="array" ref="M110">INDEX(L:L,MIN(IF(ISNUMBER(L110:L306),ROW(L110:L306),"")))</f>
        <v>6.2180000000000009</v>
      </c>
      <c r="N110" s="13">
        <f>IF('Données projet'!$A$36&gt;35,N109+M110-V109,IF(A110&lt;'Données projet'!$A$36,$K$205^A110,IF(A110='Données projet'!$A$36,'Données projet'!$B$36,N109+M110-V109)))</f>
        <v>276.01</v>
      </c>
      <c r="O110" s="13">
        <f>N110*VLOOKUP('Données projet'!$B$9,Paramètres!$A$1:$I$89,3,0)*VLOOKUP('Données projet'!$B$9,Paramètres!$A$1:$I$89,5,0)</f>
        <v>249.73384799999997</v>
      </c>
      <c r="P110" s="13">
        <f t="shared" si="87"/>
        <v>60.528944874643514</v>
      </c>
      <c r="Q110" s="20">
        <f t="shared" si="107"/>
        <v>540.37436425667067</v>
      </c>
      <c r="R110" s="59">
        <f t="shared" si="55"/>
        <v>833.70769759000405</v>
      </c>
      <c r="S110" s="59">
        <f ca="1">AVERAGE(OFFSET($R$3,0,0,'Données projet'!$E$9+1,1))-AVERAGE(OFFSET($H$3,0,0,'Données projet'!$E$9+1,1))</f>
        <v>233.2883475283553</v>
      </c>
      <c r="T110" s="59">
        <f t="shared" si="88"/>
        <v>211.4485324078031</v>
      </c>
      <c r="U110" s="15">
        <f>IF(ISNA(VLOOKUP(A110,'Données projet'!$A$35:$I$55,3,0)),0,VLOOKUP(A110,'Données projet'!$A$35:$I$55,3,0))</f>
        <v>9</v>
      </c>
      <c r="V110" s="15">
        <f>IF(ISNA(VLOOKUP(A110,'Données projet'!$A$35:$I$55,4,0)),0,VLOOKUP(A110,'Données projet'!$A$35:$I$55,4,0))</f>
        <v>40.71</v>
      </c>
      <c r="W110" s="16">
        <f>IF(ISNA(VLOOKUP(A110,'Données projet'!$A$35:$I$55,5,0)),0%,VLOOKUP(A110,'Données projet'!$A$35:$I$55,5,0)*VLOOKUP('Données projet'!$B$9,Paramètres!$A$1:$I$89,7,0))</f>
        <v>0.25800000000000001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49.965620384983318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49.965620384983318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7.456999999999999</v>
      </c>
      <c r="AI110" s="13">
        <f>IF('Données projet'!$A$62&gt;35,AI109+AH110-AQ109,IF(A110&lt;'Données projet'!$A$62,$AF$205^A110,IF(A110='Données projet'!$A$62,'Données projet'!$B$62,AI109+AH110-AQ109)))</f>
        <v>293.03800000000001</v>
      </c>
      <c r="AJ110" s="13">
        <f>AI110*VLOOKUP('Données projet'!$B$10,Paramètres!$A$1:$I$89,3,0)*VLOOKUP('Données projet'!$B$10,Paramètres!$A$1:$I$89,5,0)</f>
        <v>246.85521120000001</v>
      </c>
      <c r="AK110" s="13">
        <f t="shared" si="89"/>
        <v>59.912036331165396</v>
      </c>
      <c r="AL110" s="20">
        <f t="shared" si="58"/>
        <v>534.28628945011303</v>
      </c>
      <c r="AM110" s="59">
        <f t="shared" si="59"/>
        <v>827.6196227834464</v>
      </c>
      <c r="AN110" s="59">
        <f ca="1">AVERAGE(OFFSET($AM$3,0,0,'Données projet'!$E$10+1,1))-AVERAGE(OFFSET($H$3,0,0,'Données projet'!$E$10+1,1))</f>
        <v>206.25389915739601</v>
      </c>
      <c r="AO110" s="59">
        <f t="shared" si="90"/>
        <v>155.24154927193064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44.406740972326702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44.406740972326702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90.979199999999864</v>
      </c>
      <c r="D111" s="11">
        <f t="shared" si="86"/>
        <v>24.801235516871465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893.74371276181375</v>
      </c>
      <c r="H111" s="67">
        <f t="shared" si="56"/>
        <v>494.98425852521757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6.2580000000000009</v>
      </c>
      <c r="N111" s="13">
        <f>IF('Données projet'!$A$36&gt;35,N110+M111-V110,IF(A111&lt;'Données projet'!$A$36,$K$205^A111,IF(A111='Données projet'!$A$36,'Données projet'!$B$36,N110+M111-V110)))</f>
        <v>241.55799999999996</v>
      </c>
      <c r="O111" s="13">
        <f>N111*VLOOKUP('Données projet'!$B$9,Paramètres!$A$1:$I$89,3,0)*VLOOKUP('Données projet'!$B$9,Paramètres!$A$1:$I$89,5,0)</f>
        <v>218.56167839999995</v>
      </c>
      <c r="P111" s="13">
        <f t="shared" si="87"/>
        <v>53.802154387549471</v>
      </c>
      <c r="Q111" s="20">
        <f t="shared" si="107"/>
        <v>474.36700877164861</v>
      </c>
      <c r="R111" s="59">
        <f t="shared" si="55"/>
        <v>767.70034210498193</v>
      </c>
      <c r="S111" s="59">
        <f ca="1">AVERAGE(OFFSET($R$3,0,0,'Données projet'!$E$9+1,1))-AVERAGE(OFFSET($H$3,0,0,'Données projet'!$E$9+1,1))</f>
        <v>233.2883475283553</v>
      </c>
      <c r="T111" s="59">
        <f t="shared" si="88"/>
        <v>211.4485324078031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48.985825045252973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48.985825045252973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7.456999999999999</v>
      </c>
      <c r="AI111" s="13">
        <f>IF('Données projet'!$A$62&gt;35,AI110+AH111-AQ110,IF(A111&lt;'Données projet'!$A$62,$AF$205^A111,IF(A111='Données projet'!$A$62,'Données projet'!$B$62,AI110+AH111-AQ110)))</f>
        <v>300.495</v>
      </c>
      <c r="AJ111" s="13">
        <f>AI111*VLOOKUP('Données projet'!$B$10,Paramètres!$A$1:$I$89,3,0)*VLOOKUP('Données projet'!$B$10,Paramètres!$A$1:$I$89,5,0)</f>
        <v>253.13698800000003</v>
      </c>
      <c r="AK111" s="13">
        <f t="shared" si="89"/>
        <v>61.257191329793066</v>
      </c>
      <c r="AL111" s="20">
        <f t="shared" si="58"/>
        <v>547.56986233272289</v>
      </c>
      <c r="AM111" s="59">
        <f t="shared" si="59"/>
        <v>840.90319566605626</v>
      </c>
      <c r="AN111" s="59">
        <f ca="1">AVERAGE(OFFSET($AM$3,0,0,'Données projet'!$E$10+1,1))-AVERAGE(OFFSET($H$3,0,0,'Données projet'!$E$10+1,1))</f>
        <v>206.25389915739601</v>
      </c>
      <c r="AO111" s="59">
        <f t="shared" si="90"/>
        <v>155.24154927193064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43.535951867296902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43.535951867296902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91.821599999999862</v>
      </c>
      <c r="D112" s="11">
        <f t="shared" si="86"/>
        <v>25.004037394505936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901.81193778215027</v>
      </c>
      <c r="H112" s="67">
        <f t="shared" si="56"/>
        <v>496.80465179543091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6.2580000000000009</v>
      </c>
      <c r="N112" s="13">
        <f>IF('Données projet'!$A$36&gt;35,N111+M112-V111,IF(A112&lt;'Données projet'!$A$36,$K$205^A112,IF(A112='Données projet'!$A$36,'Données projet'!$B$36,N111+M112-V111)))</f>
        <v>247.81599999999997</v>
      </c>
      <c r="O112" s="13">
        <f>N112*VLOOKUP('Données projet'!$B$9,Paramètres!$A$1:$I$89,3,0)*VLOOKUP('Données projet'!$B$9,Paramètres!$A$1:$I$89,5,0)</f>
        <v>224.22391679999998</v>
      </c>
      <c r="P112" s="13">
        <f t="shared" si="87"/>
        <v>55.031914580674403</v>
      </c>
      <c r="Q112" s="20">
        <f t="shared" si="107"/>
        <v>486.37057298800784</v>
      </c>
      <c r="R112" s="59">
        <f t="shared" si="55"/>
        <v>779.70390632134115</v>
      </c>
      <c r="S112" s="59">
        <f ca="1">AVERAGE(OFFSET($R$3,0,0,'Données projet'!$E$9+1,1))-AVERAGE(OFFSET($H$3,0,0,'Données projet'!$E$9+1,1))</f>
        <v>233.2883475283553</v>
      </c>
      <c r="T112" s="59">
        <f t="shared" si="88"/>
        <v>211.4485324078031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48.025242894518591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48.025242894518591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7.456999999999999</v>
      </c>
      <c r="AI112" s="13">
        <f>IF('Données projet'!$A$62&gt;35,AI111+AH112-AQ111,IF(A112&lt;'Données projet'!$A$62,$AF$205^A112,IF(A112='Données projet'!$A$62,'Données projet'!$B$62,AI111+AH112-AQ111)))</f>
        <v>307.952</v>
      </c>
      <c r="AJ112" s="13">
        <f>AI112*VLOOKUP('Données projet'!$B$10,Paramètres!$A$1:$I$89,3,0)*VLOOKUP('Données projet'!$B$10,Paramètres!$A$1:$I$89,5,0)</f>
        <v>259.41876480000002</v>
      </c>
      <c r="AK112" s="13">
        <f t="shared" si="89"/>
        <v>62.59846596659208</v>
      </c>
      <c r="AL112" s="20">
        <f t="shared" si="58"/>
        <v>560.84667691848119</v>
      </c>
      <c r="AM112" s="59">
        <f t="shared" si="59"/>
        <v>854.18001025181456</v>
      </c>
      <c r="AN112" s="59">
        <f ca="1">AVERAGE(OFFSET($AM$3,0,0,'Données projet'!$E$10+1,1))-AVERAGE(OFFSET($H$3,0,0,'Données projet'!$E$10+1,1))</f>
        <v>206.25389915739601</v>
      </c>
      <c r="AO112" s="59">
        <f t="shared" si="90"/>
        <v>155.24154927193064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42.68223840548783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42.68223840548783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92.663999999999859</v>
      </c>
      <c r="D113" s="11">
        <f t="shared" si="86"/>
        <v>25.206622814445748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909.8784919009837</v>
      </c>
      <c r="H113" s="67">
        <f t="shared" si="56"/>
        <v>498.62466806849272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6.2580000000000009</v>
      </c>
      <c r="N113" s="13">
        <f>IF('Données projet'!$A$36&gt;35,N112+M113-V112,IF(A113&lt;'Données projet'!$A$36,$K$205^A113,IF(A113='Données projet'!$A$36,'Données projet'!$B$36,N112+M113-V112)))</f>
        <v>254.07399999999998</v>
      </c>
      <c r="O113" s="13">
        <f>N113*VLOOKUP('Données projet'!$B$9,Paramètres!$A$1:$I$89,3,0)*VLOOKUP('Données projet'!$B$9,Paramètres!$A$1:$I$89,5,0)</f>
        <v>229.88615519999996</v>
      </c>
      <c r="P113" s="13">
        <f t="shared" si="87"/>
        <v>56.258064914431223</v>
      </c>
      <c r="Q113" s="20">
        <f t="shared" si="107"/>
        <v>498.36785003263429</v>
      </c>
      <c r="R113" s="59">
        <f t="shared" si="55"/>
        <v>791.70118336596761</v>
      </c>
      <c r="S113" s="59">
        <f ca="1">AVERAGE(OFFSET($R$3,0,0,'Données projet'!$E$9+1,1))-AVERAGE(OFFSET($H$3,0,0,'Données projet'!$E$9+1,1))</f>
        <v>233.2883475283553</v>
      </c>
      <c r="T113" s="59">
        <f t="shared" si="88"/>
        <v>211.4485324078031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47.083497173862852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47.083497173862852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7.456999999999999</v>
      </c>
      <c r="AI113" s="13">
        <f>IF('Données projet'!$A$62&gt;35,AI112+AH113-AQ112,IF(A113&lt;'Données projet'!$A$62,$AF$205^A113,IF(A113='Données projet'!$A$62,'Données projet'!$B$62,AI112+AH113-AQ112)))</f>
        <v>315.40899999999999</v>
      </c>
      <c r="AJ113" s="13">
        <f>AI113*VLOOKUP('Données projet'!$B$10,Paramètres!$A$1:$I$89,3,0)*VLOOKUP('Données projet'!$B$10,Paramètres!$A$1:$I$89,5,0)</f>
        <v>265.70054160000001</v>
      </c>
      <c r="AK113" s="13">
        <f t="shared" si="89"/>
        <v>63.935965014011138</v>
      </c>
      <c r="AL113" s="20">
        <f t="shared" si="58"/>
        <v>574.11691568606932</v>
      </c>
      <c r="AM113" s="59">
        <f t="shared" si="59"/>
        <v>867.45024901940269</v>
      </c>
      <c r="AN113" s="59">
        <f ca="1">AVERAGE(OFFSET($AM$3,0,0,'Données projet'!$E$10+1,1))-AVERAGE(OFFSET($H$3,0,0,'Données projet'!$E$10+1,1))</f>
        <v>206.25389915739601</v>
      </c>
      <c r="AO113" s="59">
        <f t="shared" si="90"/>
        <v>155.24154927193064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41.845265743951039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41.845265743951039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93.506399999999857</v>
      </c>
      <c r="D114" s="11">
        <f t="shared" si="86"/>
        <v>25.408993972438445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917.94339206794484</v>
      </c>
      <c r="H114" s="67">
        <f t="shared" si="56"/>
        <v>500.44431116866338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6.2580000000000009</v>
      </c>
      <c r="N114" s="13">
        <f>IF('Données projet'!$A$36&gt;35,N113+M114-V113,IF(A114&lt;'Données projet'!$A$36,$K$205^A114,IF(A114='Données projet'!$A$36,'Données projet'!$B$36,N113+M114-V113)))</f>
        <v>260.33199999999999</v>
      </c>
      <c r="O114" s="13">
        <f>N114*VLOOKUP('Données projet'!$B$9,Paramètres!$A$1:$I$89,3,0)*VLOOKUP('Données projet'!$B$9,Paramètres!$A$1:$I$89,5,0)</f>
        <v>235.5483936</v>
      </c>
      <c r="P114" s="13">
        <f t="shared" si="87"/>
        <v>57.480704529492094</v>
      </c>
      <c r="Q114" s="20">
        <f t="shared" si="107"/>
        <v>510.35901257553201</v>
      </c>
      <c r="R114" s="59">
        <f t="shared" si="55"/>
        <v>803.69234590886526</v>
      </c>
      <c r="S114" s="59">
        <f ca="1">AVERAGE(OFFSET($R$3,0,0,'Données projet'!$E$9+1,1))-AVERAGE(OFFSET($H$3,0,0,'Données projet'!$E$9+1,1))</f>
        <v>233.2883475283553</v>
      </c>
      <c r="T114" s="59">
        <f t="shared" si="88"/>
        <v>211.4485324078031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46.160218512381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46.160218512381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7.456999999999999</v>
      </c>
      <c r="AI114" s="13">
        <f>IF('Données projet'!$A$62&gt;35,AI113+AH114-AQ113,IF(A114&lt;'Données projet'!$A$62,$AF$205^A114,IF(A114='Données projet'!$A$62,'Données projet'!$B$62,AI113+AH114-AQ113)))</f>
        <v>322.86599999999999</v>
      </c>
      <c r="AJ114" s="13">
        <f>AI114*VLOOKUP('Données projet'!$B$10,Paramètres!$A$1:$I$89,3,0)*VLOOKUP('Données projet'!$B$10,Paramètres!$A$1:$I$89,5,0)</f>
        <v>271.98231840000005</v>
      </c>
      <c r="AK114" s="13">
        <f t="shared" si="89"/>
        <v>65.269788007779979</v>
      </c>
      <c r="AL114" s="20">
        <f t="shared" si="58"/>
        <v>587.38075199355023</v>
      </c>
      <c r="AM114" s="59">
        <f t="shared" si="59"/>
        <v>880.71408532688361</v>
      </c>
      <c r="AN114" s="59">
        <f ca="1">AVERAGE(OFFSET($AM$3,0,0,'Données projet'!$E$10+1,1))-AVERAGE(OFFSET($H$3,0,0,'Données projet'!$E$10+1,1))</f>
        <v>206.25389915739601</v>
      </c>
      <c r="AO114" s="59">
        <f t="shared" si="90"/>
        <v>155.24154927193064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41.024705605804066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41.024705605804066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94.348799999999855</v>
      </c>
      <c r="D115" s="11">
        <f t="shared" si="86"/>
        <v>25.611153022386418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926.00665490964855</v>
      </c>
      <c r="H115" s="67">
        <f t="shared" si="56"/>
        <v>502.2635848473227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6.2580000000000009</v>
      </c>
      <c r="N115" s="13">
        <f>IF('Données projet'!$A$36&gt;35,N114+M115-V114,IF(A115&lt;'Données projet'!$A$36,$K$205^A115,IF(A115='Données projet'!$A$36,'Données projet'!$B$36,N114+M115-V114)))</f>
        <v>266.58999999999997</v>
      </c>
      <c r="O115" s="13">
        <f>N115*VLOOKUP('Données projet'!$B$9,Paramètres!$A$1:$I$89,3,0)*VLOOKUP('Données projet'!$B$9,Paramètres!$A$1:$I$89,5,0)</f>
        <v>241.21063199999995</v>
      </c>
      <c r="P115" s="13">
        <f t="shared" si="87"/>
        <v>58.699927528320799</v>
      </c>
      <c r="Q115" s="20">
        <f t="shared" si="107"/>
        <v>522.34422451182525</v>
      </c>
      <c r="R115" s="59">
        <f t="shared" si="55"/>
        <v>815.67755784515862</v>
      </c>
      <c r="S115" s="59">
        <f ca="1">AVERAGE(OFFSET($R$3,0,0,'Données projet'!$E$9+1,1))-AVERAGE(OFFSET($H$3,0,0,'Données projet'!$E$9+1,1))</f>
        <v>233.2883475283553</v>
      </c>
      <c r="T115" s="59">
        <f t="shared" si="88"/>
        <v>211.4485324078031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45.255044782306427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45.255044782306427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7.456999999999999</v>
      </c>
      <c r="AI115" s="13">
        <f>IF('Données projet'!$A$62&gt;35,AI114+AH115-AQ114,IF(A115&lt;'Données projet'!$A$62,$AF$205^A115,IF(A115='Données projet'!$A$62,'Données projet'!$B$62,AI114+AH115-AQ114)))</f>
        <v>330.32299999999998</v>
      </c>
      <c r="AJ115" s="13">
        <f>AI115*VLOOKUP('Données projet'!$B$10,Paramètres!$A$1:$I$89,3,0)*VLOOKUP('Données projet'!$B$10,Paramètres!$A$1:$I$89,5,0)</f>
        <v>278.26409519999999</v>
      </c>
      <c r="AK115" s="13">
        <f t="shared" si="89"/>
        <v>66.600029623461893</v>
      </c>
      <c r="AL115" s="20">
        <f t="shared" si="58"/>
        <v>600.63835073419614</v>
      </c>
      <c r="AM115" s="59">
        <f t="shared" si="59"/>
        <v>893.9716840675294</v>
      </c>
      <c r="AN115" s="59">
        <f ca="1">AVERAGE(OFFSET($AM$3,0,0,'Données projet'!$E$10+1,1))-AVERAGE(OFFSET($H$3,0,0,'Données projet'!$E$10+1,1))</f>
        <v>206.25389915739601</v>
      </c>
      <c r="AO115" s="59">
        <f t="shared" si="90"/>
        <v>155.24154927193064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40.220236151473891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40.220236151473891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95.191199999999853</v>
      </c>
      <c r="D116" s="11">
        <f t="shared" si="86"/>
        <v>25.813102077510454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934.06829673867605</v>
      </c>
      <c r="H116" s="67">
        <f t="shared" si="56"/>
        <v>504.0824927849971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6.2580000000000009</v>
      </c>
      <c r="N116" s="13">
        <f>IF('Données projet'!$A$36&gt;35,N115+M116-V115,IF(A116&lt;'Données projet'!$A$36,$K$205^A116,IF(A116='Données projet'!$A$36,'Données projet'!$B$36,N115+M116-V115)))</f>
        <v>272.84799999999996</v>
      </c>
      <c r="O116" s="13">
        <f>N116*VLOOKUP('Données projet'!$B$9,Paramètres!$A$1:$I$89,3,0)*VLOOKUP('Données projet'!$B$9,Paramètres!$A$1:$I$89,5,0)</f>
        <v>246.87287039999995</v>
      </c>
      <c r="P116" s="13">
        <f t="shared" si="87"/>
        <v>59.91582334337631</v>
      </c>
      <c r="Q116" s="20">
        <f t="shared" si="107"/>
        <v>534.32364160304689</v>
      </c>
      <c r="R116" s="59">
        <f t="shared" si="55"/>
        <v>827.65697493638027</v>
      </c>
      <c r="S116" s="59">
        <f ca="1">AVERAGE(OFFSET($R$3,0,0,'Données projet'!$E$9+1,1))-AVERAGE(OFFSET($H$3,0,0,'Données projet'!$E$9+1,1))</f>
        <v>233.2883475283553</v>
      </c>
      <c r="T116" s="59">
        <f t="shared" si="88"/>
        <v>211.4485324078031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44.367620956977163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44.367620956977163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337.78</v>
      </c>
      <c r="AG116" s="12">
        <f>VLOOKUP(A116,'Données projet'!$A$61:$I$81,9,0)</f>
        <v>7.456999999999999</v>
      </c>
      <c r="AH116" s="12">
        <f t="array" ref="AH116">INDEX(AG:AG,MIN(IF(ISNUMBER(AG116:AG312),ROW(AG116:AG312),"")))</f>
        <v>7.456999999999999</v>
      </c>
      <c r="AI116" s="13">
        <f>IF('Données projet'!$A$62&gt;35,AI115+AH116-AQ115,IF(A116&lt;'Données projet'!$A$62,$AF$205^A116,IF(A116='Données projet'!$A$62,'Données projet'!$B$62,AI115+AH116-AQ115)))</f>
        <v>337.78</v>
      </c>
      <c r="AJ116" s="13">
        <f>AI116*VLOOKUP('Données projet'!$B$10,Paramètres!$A$1:$I$89,3,0)*VLOOKUP('Données projet'!$B$10,Paramètres!$A$1:$I$89,5,0)</f>
        <v>284.54587199999997</v>
      </c>
      <c r="AK116" s="13">
        <f t="shared" si="89"/>
        <v>67.926780018045676</v>
      </c>
      <c r="AL116" s="20">
        <f t="shared" si="58"/>
        <v>613.88986893142953</v>
      </c>
      <c r="AM116" s="59">
        <f t="shared" si="59"/>
        <v>907.2232022647629</v>
      </c>
      <c r="AN116" s="59">
        <f ca="1">AVERAGE(OFFSET($AM$3,0,0,'Données projet'!$E$10+1,1))-AVERAGE(OFFSET($H$3,0,0,'Données projet'!$E$10+1,1))</f>
        <v>206.25389915739601</v>
      </c>
      <c r="AO116" s="59">
        <f t="shared" si="90"/>
        <v>155.24154927193064</v>
      </c>
      <c r="AP116" s="15">
        <f>IF(ISNA(VLOOKUP(A116,'Données projet'!$A$61:$I$81,3,0)),0,VLOOKUP(A116,'Données projet'!$A$61:$I$81,3,0))</f>
        <v>10</v>
      </c>
      <c r="AQ116" s="15">
        <f>IF(ISNA(VLOOKUP(A116,'Données projet'!$A$61:$I$81,4,0)),0,VLOOKUP(A116,'Données projet'!$A$61:$I$81,4,0))</f>
        <v>59.52</v>
      </c>
      <c r="AR116" s="16">
        <f>IF(ISNA(VLOOKUP(A116,'Données projet'!$A$61:$I$81,5,0)),0%,VLOOKUP(A116,'Données projet'!$A$61:$I$81,5,0)*VLOOKUP('Données projet'!$B$10,Paramètres!$A$1:$I$89,7,0))</f>
        <v>0.25800000000000001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53.731938944151018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53.731938944151018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96.033599999999851</v>
      </c>
      <c r="D117" s="11">
        <f t="shared" si="86"/>
        <v>26.014843211471206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942.12833356223257</v>
      </c>
      <c r="H117" s="67">
        <f t="shared" si="56"/>
        <v>505.90103859331208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6.2580000000000009</v>
      </c>
      <c r="N117" s="13">
        <f>IF('Données projet'!$A$36&gt;35,N116+M117-V116,IF(A117&lt;'Données projet'!$A$36,$K$205^A117,IF(A117='Données projet'!$A$36,'Données projet'!$B$36,N116+M117-V116)))</f>
        <v>279.10599999999994</v>
      </c>
      <c r="O117" s="13">
        <f>N117*VLOOKUP('Données projet'!$B$9,Paramètres!$A$1:$I$89,3,0)*VLOOKUP('Données projet'!$B$9,Paramètres!$A$1:$I$89,5,0)</f>
        <v>252.53510879999993</v>
      </c>
      <c r="P117" s="13">
        <f t="shared" si="87"/>
        <v>61.128477070584189</v>
      </c>
      <c r="Q117" s="20">
        <f t="shared" si="107"/>
        <v>546.29741205793403</v>
      </c>
      <c r="R117" s="59">
        <f t="shared" si="55"/>
        <v>839.63074539126728</v>
      </c>
      <c r="S117" s="59">
        <f ca="1">AVERAGE(OFFSET($R$3,0,0,'Données projet'!$E$9+1,1))-AVERAGE(OFFSET($H$3,0,0,'Données projet'!$E$9+1,1))</f>
        <v>233.2883475283553</v>
      </c>
      <c r="T117" s="59">
        <f t="shared" si="88"/>
        <v>211.4485324078031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43.497598971587514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43.497598971587514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7.3920000000000012</v>
      </c>
      <c r="AI117" s="13">
        <f>IF('Données projet'!$A$62&gt;35,AI116+AH117-AQ116,IF(A117&lt;'Données projet'!$A$62,$AF$205^A117,IF(A117='Données projet'!$A$62,'Données projet'!$B$62,AI116+AH117-AQ116)))</f>
        <v>285.65199999999999</v>
      </c>
      <c r="AJ117" s="13">
        <f>AI117*VLOOKUP('Données projet'!$B$10,Paramètres!$A$1:$I$89,3,0)*VLOOKUP('Données projet'!$B$10,Paramètres!$A$1:$I$89,5,0)</f>
        <v>240.63324480000003</v>
      </c>
      <c r="AK117" s="13">
        <f t="shared" si="89"/>
        <v>58.575755284088402</v>
      </c>
      <c r="AL117" s="20">
        <f t="shared" si="58"/>
        <v>521.12234181312056</v>
      </c>
      <c r="AM117" s="59">
        <f t="shared" si="59"/>
        <v>814.45567514645381</v>
      </c>
      <c r="AN117" s="59">
        <f ca="1">AVERAGE(OFFSET($AM$3,0,0,'Données projet'!$E$10+1,1))-AVERAGE(OFFSET($H$3,0,0,'Données projet'!$E$10+1,1))</f>
        <v>206.25389915739601</v>
      </c>
      <c r="AO117" s="59">
        <f t="shared" si="90"/>
        <v>155.24154927193064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52.678288394702882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52.678288394702882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96.875999999999848</v>
      </c>
      <c r="D118" s="11">
        <f t="shared" si="86"/>
        <v>26.216378459450194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950.18678109049176</v>
      </c>
      <c r="H118" s="67">
        <f t="shared" si="56"/>
        <v>507.71922581687545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6.2580000000000009</v>
      </c>
      <c r="N118" s="13">
        <f>IF('Données projet'!$A$36&gt;35,N117+M118-V117,IF(A118&lt;'Données projet'!$A$36,$K$205^A118,IF(A118='Données projet'!$A$36,'Données projet'!$B$36,N117+M118-V117)))</f>
        <v>285.36399999999992</v>
      </c>
      <c r="O118" s="13">
        <f>N118*VLOOKUP('Données projet'!$B$9,Paramètres!$A$1:$I$89,3,0)*VLOOKUP('Données projet'!$B$9,Paramètres!$A$1:$I$89,5,0)</f>
        <v>258.19734719999991</v>
      </c>
      <c r="P118" s="13">
        <f t="shared" si="87"/>
        <v>62.337969772057512</v>
      </c>
      <c r="Q118" s="20">
        <f t="shared" si="107"/>
        <v>558.2656770596667</v>
      </c>
      <c r="R118" s="59">
        <f t="shared" si="55"/>
        <v>851.59901039300007</v>
      </c>
      <c r="S118" s="59">
        <f ca="1">AVERAGE(OFFSET($R$3,0,0,'Données projet'!$E$9+1,1))-AVERAGE(OFFSET($H$3,0,0,'Données projet'!$E$9+1,1))</f>
        <v>233.2883475283553</v>
      </c>
      <c r="T118" s="59">
        <f t="shared" si="88"/>
        <v>211.4485324078031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42.644637586670349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42.644637586670349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7.3920000000000012</v>
      </c>
      <c r="AI118" s="13">
        <f>IF('Données projet'!$A$62&gt;35,AI117+AH118-AQ117,IF(A118&lt;'Données projet'!$A$62,$AF$205^A118,IF(A118='Données projet'!$A$62,'Données projet'!$B$62,AI117+AH118-AQ117)))</f>
        <v>293.04399999999998</v>
      </c>
      <c r="AJ118" s="13">
        <f>AI118*VLOOKUP('Données projet'!$B$10,Paramètres!$A$1:$I$89,3,0)*VLOOKUP('Données projet'!$B$10,Paramètres!$A$1:$I$89,5,0)</f>
        <v>246.86026560000002</v>
      </c>
      <c r="AK118" s="13">
        <f t="shared" si="89"/>
        <v>59.913120249542224</v>
      </c>
      <c r="AL118" s="20">
        <f t="shared" si="58"/>
        <v>534.29698035461945</v>
      </c>
      <c r="AM118" s="59">
        <f t="shared" si="59"/>
        <v>827.63031368795282</v>
      </c>
      <c r="AN118" s="59">
        <f ca="1">AVERAGE(OFFSET($AM$3,0,0,'Données projet'!$E$10+1,1))-AVERAGE(OFFSET($H$3,0,0,'Données projet'!$E$10+1,1))</f>
        <v>206.25389915739601</v>
      </c>
      <c r="AO118" s="59">
        <f t="shared" si="90"/>
        <v>155.24154927193064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51.645299289866045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51.645299289866045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97.718399999999846</v>
      </c>
      <c r="D119" s="11">
        <f t="shared" si="86"/>
        <v>26.417709819192172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958.24365474464003</v>
      </c>
      <c r="H119" s="67">
        <f t="shared" si="56"/>
        <v>509.53705793509272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6.2580000000000009</v>
      </c>
      <c r="N119" s="13">
        <f>IF('Données projet'!$A$36&gt;35,N118+M119-V118,IF(A119&lt;'Données projet'!$A$36,$K$205^A119,IF(A119='Données projet'!$A$36,'Données projet'!$B$36,N118+M119-V118)))</f>
        <v>291.6219999999999</v>
      </c>
      <c r="O119" s="13">
        <f>N119*VLOOKUP('Données projet'!$B$9,Paramètres!$A$1:$I$89,3,0)*VLOOKUP('Données projet'!$B$9,Paramètres!$A$1:$I$89,5,0)</f>
        <v>263.85958559999995</v>
      </c>
      <c r="P119" s="13">
        <f t="shared" si="87"/>
        <v>63.544378751513669</v>
      </c>
      <c r="Q119" s="20">
        <f t="shared" si="107"/>
        <v>570.22857124555276</v>
      </c>
      <c r="R119" s="59">
        <f t="shared" si="55"/>
        <v>863.56190457888601</v>
      </c>
      <c r="S119" s="59">
        <f ca="1">AVERAGE(OFFSET($R$3,0,0,'Données projet'!$E$9+1,1))-AVERAGE(OFFSET($H$3,0,0,'Données projet'!$E$9+1,1))</f>
        <v>233.2883475283553</v>
      </c>
      <c r="T119" s="59">
        <f t="shared" si="88"/>
        <v>211.4485324078031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41.808402254256329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41.808402254256329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7.3920000000000012</v>
      </c>
      <c r="AI119" s="13">
        <f>IF('Données projet'!$A$62&gt;35,AI118+AH119-AQ118,IF(A119&lt;'Données projet'!$A$62,$AF$205^A119,IF(A119='Données projet'!$A$62,'Données projet'!$B$62,AI118+AH119-AQ118)))</f>
        <v>300.43599999999998</v>
      </c>
      <c r="AJ119" s="13">
        <f>AI119*VLOOKUP('Données projet'!$B$10,Paramètres!$A$1:$I$89,3,0)*VLOOKUP('Données projet'!$B$10,Paramètres!$A$1:$I$89,5,0)</f>
        <v>253.08728640000004</v>
      </c>
      <c r="AK119" s="13">
        <f t="shared" si="89"/>
        <v>61.246563795569969</v>
      </c>
      <c r="AL119" s="20">
        <f t="shared" si="58"/>
        <v>547.46478909061773</v>
      </c>
      <c r="AM119" s="59">
        <f t="shared" si="59"/>
        <v>840.7981224239511</v>
      </c>
      <c r="AN119" s="59">
        <f ca="1">AVERAGE(OFFSET($AM$3,0,0,'Données projet'!$E$10+1,1))-AVERAGE(OFFSET($H$3,0,0,'Données projet'!$E$10+1,1))</f>
        <v>206.25389915739601</v>
      </c>
      <c r="AO119" s="59">
        <f t="shared" si="90"/>
        <v>155.24154927193064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50.632566471313922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50.632566471313922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98.560799999999844</v>
      </c>
      <c r="D120" s="11">
        <f t="shared" si="86"/>
        <v>26.618839252010197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966.29896966463912</v>
      </c>
      <c r="H120" s="67">
        <f t="shared" si="56"/>
        <v>511.35453836391747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>
        <f>VLOOKUP(A120,'Données projet'!$A$35:$I$55,2,0)</f>
        <v>297.88</v>
      </c>
      <c r="L120" s="12">
        <f>VLOOKUP(A120,'Données projet'!$A$35:$I$55,9,0)</f>
        <v>6.2580000000000009</v>
      </c>
      <c r="M120" s="12">
        <f t="array" ref="M120">INDEX(L:L,MIN(IF(ISNUMBER(L120:L316),ROW(L120:L316),"")))</f>
        <v>6.2580000000000009</v>
      </c>
      <c r="N120" s="13">
        <f>IF('Données projet'!$A$36&gt;35,N119+M120-V119,IF(A120&lt;'Données projet'!$A$36,$K$205^A120,IF(A120='Données projet'!$A$36,'Données projet'!$B$36,N119+M120-V119)))</f>
        <v>297.87999999999988</v>
      </c>
      <c r="O120" s="13">
        <f>N120*VLOOKUP('Données projet'!$B$9,Paramètres!$A$1:$I$89,3,0)*VLOOKUP('Données projet'!$B$9,Paramètres!$A$1:$I$89,5,0)</f>
        <v>269.52182399999987</v>
      </c>
      <c r="P120" s="13">
        <f t="shared" si="87"/>
        <v>64.747777805383322</v>
      </c>
      <c r="Q120" s="20">
        <f t="shared" si="107"/>
        <v>582.18622314437573</v>
      </c>
      <c r="R120" s="59">
        <f t="shared" si="55"/>
        <v>875.5195564777091</v>
      </c>
      <c r="S120" s="59">
        <f ca="1">AVERAGE(OFFSET($R$3,0,0,'Données projet'!$E$9+1,1))-AVERAGE(OFFSET($H$3,0,0,'Données projet'!$E$9+1,1))</f>
        <v>233.2883475283553</v>
      </c>
      <c r="T120" s="59">
        <f t="shared" si="88"/>
        <v>211.4485324078031</v>
      </c>
      <c r="U120" s="15">
        <f>IF(ISNA(VLOOKUP(A120,'Données projet'!$A$35:$I$55,3,0)),0,VLOOKUP(A120,'Données projet'!$A$35:$I$55,3,0))</f>
        <v>10</v>
      </c>
      <c r="V120" s="15">
        <f>IF(ISNA(VLOOKUP(A120,'Données projet'!$A$35:$I$55,4,0)),0,VLOOKUP(A120,'Données projet'!$A$35:$I$55,4,0))</f>
        <v>42.89</v>
      </c>
      <c r="W120" s="16">
        <f>IF(ISNA(VLOOKUP(A120,'Données projet'!$A$35:$I$55,5,0)),0%,VLOOKUP(A120,'Données projet'!$A$35:$I$55,5,0)*VLOOKUP('Données projet'!$B$9,Paramètres!$A$1:$I$89,7,0))</f>
        <v>0.25800000000000001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52.056725646386028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52.056725646386028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7.3920000000000012</v>
      </c>
      <c r="AI120" s="13">
        <f>IF('Données projet'!$A$62&gt;35,AI119+AH120-AQ119,IF(A120&lt;'Données projet'!$A$62,$AF$205^A120,IF(A120='Données projet'!$A$62,'Données projet'!$B$62,AI119+AH120-AQ119)))</f>
        <v>307.82799999999997</v>
      </c>
      <c r="AJ120" s="13">
        <f>AI120*VLOOKUP('Données projet'!$B$10,Paramètres!$A$1:$I$89,3,0)*VLOOKUP('Données projet'!$B$10,Paramètres!$A$1:$I$89,5,0)</f>
        <v>259.31430719999997</v>
      </c>
      <c r="AK120" s="13">
        <f t="shared" si="89"/>
        <v>62.57619350426765</v>
      </c>
      <c r="AL120" s="20">
        <f t="shared" si="58"/>
        <v>560.62595539326617</v>
      </c>
      <c r="AM120" s="59">
        <f t="shared" si="59"/>
        <v>853.95928872659942</v>
      </c>
      <c r="AN120" s="59">
        <f ca="1">AVERAGE(OFFSET($AM$3,0,0,'Données projet'!$E$10+1,1))-AVERAGE(OFFSET($H$3,0,0,'Données projet'!$E$10+1,1))</f>
        <v>206.25389915739601</v>
      </c>
      <c r="AO120" s="59">
        <f t="shared" si="90"/>
        <v>155.24154927193064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49.639692725627576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49.639692725627576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99.403199999999842</v>
      </c>
      <c r="D121" s="11">
        <f t="shared" si="86"/>
        <v>26.819768683755761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974.35274071670995</v>
      </c>
      <c r="H121" s="67">
        <f t="shared" si="56"/>
        <v>513.17167045754104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6.4216666666666669</v>
      </c>
      <c r="N121" s="13">
        <f>IF('Données projet'!$A$36&gt;35,N120+M121-V120,IF(A121&lt;'Données projet'!$A$36,$K$205^A121,IF(A121='Données projet'!$A$36,'Données projet'!$B$36,N120+M121-V120)))</f>
        <v>261.41166666666658</v>
      </c>
      <c r="O121" s="13">
        <f>N121*VLOOKUP('Données projet'!$B$9,Paramètres!$A$1:$I$89,3,0)*VLOOKUP('Données projet'!$B$9,Paramètres!$A$1:$I$89,5,0)</f>
        <v>236.52527599999991</v>
      </c>
      <c r="P121" s="13">
        <f t="shared" si="87"/>
        <v>57.691293320304538</v>
      </c>
      <c r="Q121" s="20">
        <f t="shared" si="107"/>
        <v>512.42719156619683</v>
      </c>
      <c r="R121" s="59">
        <f t="shared" si="55"/>
        <v>805.76052489953008</v>
      </c>
      <c r="S121" s="59">
        <f ca="1">AVERAGE(OFFSET($R$3,0,0,'Données projet'!$E$9+1,1))-AVERAGE(OFFSET($H$3,0,0,'Données projet'!$E$9+1,1))</f>
        <v>233.2883475283553</v>
      </c>
      <c r="T121" s="59">
        <f t="shared" si="88"/>
        <v>211.4485324078031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51.035925007927844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51.035925007927844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7.3920000000000012</v>
      </c>
      <c r="AI121" s="13">
        <f>IF('Données projet'!$A$62&gt;35,AI120+AH121-AQ120,IF(A121&lt;'Données projet'!$A$62,$AF$205^A121,IF(A121='Données projet'!$A$62,'Données projet'!$B$62,AI120+AH121-AQ120)))</f>
        <v>315.21999999999997</v>
      </c>
      <c r="AJ121" s="13">
        <f>AI121*VLOOKUP('Données projet'!$B$10,Paramètres!$A$1:$I$89,3,0)*VLOOKUP('Données projet'!$B$10,Paramètres!$A$1:$I$89,5,0)</f>
        <v>265.54132799999996</v>
      </c>
      <c r="AK121" s="13">
        <f t="shared" si="89"/>
        <v>63.90211149624934</v>
      </c>
      <c r="AL121" s="20">
        <f t="shared" si="58"/>
        <v>573.78065712263424</v>
      </c>
      <c r="AM121" s="59">
        <f t="shared" si="59"/>
        <v>867.1139904559675</v>
      </c>
      <c r="AN121" s="59">
        <f ca="1">AVERAGE(OFFSET($AM$3,0,0,'Données projet'!$E$10+1,1))-AVERAGE(OFFSET($H$3,0,0,'Données projet'!$E$10+1,1))</f>
        <v>206.25389915739601</v>
      </c>
      <c r="AO121" s="59">
        <f t="shared" si="90"/>
        <v>155.24154927193064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48.666288628500958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48.666288628500958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100.24559999999984</v>
      </c>
      <c r="D122" s="11">
        <f t="shared" si="86"/>
        <v>27.020500005754911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982.40498250056305</v>
      </c>
      <c r="H122" s="67">
        <f t="shared" si="56"/>
        <v>514.98845751002284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6.4216666666666669</v>
      </c>
      <c r="N122" s="13">
        <f>IF('Données projet'!$A$36&gt;35,N121+M122-V121,IF(A122&lt;'Données projet'!$A$36,$K$205^A122,IF(A122='Données projet'!$A$36,'Données projet'!$B$36,N121+M122-V121)))</f>
        <v>267.83333333333326</v>
      </c>
      <c r="O122" s="13">
        <f>N122*VLOOKUP('Données projet'!$B$9,Paramètres!$A$1:$I$89,3,0)*VLOOKUP('Données projet'!$B$9,Paramètres!$A$1:$I$89,5,0)</f>
        <v>242.33559999999991</v>
      </c>
      <c r="P122" s="13">
        <f t="shared" si="87"/>
        <v>58.94176260893444</v>
      </c>
      <c r="Q122" s="20">
        <f t="shared" si="107"/>
        <v>524.72473987722731</v>
      </c>
      <c r="R122" s="59">
        <f t="shared" si="55"/>
        <v>818.05807321056068</v>
      </c>
      <c r="S122" s="59">
        <f ca="1">AVERAGE(OFFSET($R$3,0,0,'Données projet'!$E$9+1,1))-AVERAGE(OFFSET($H$3,0,0,'Données projet'!$E$9+1,1))</f>
        <v>233.2883475283553</v>
      </c>
      <c r="T122" s="59">
        <f t="shared" si="88"/>
        <v>211.4485324078031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50.035141647362913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50.035141647362913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7.3920000000000012</v>
      </c>
      <c r="AI122" s="13">
        <f>IF('Données projet'!$A$62&gt;35,AI121+AH122-AQ121,IF(A122&lt;'Données projet'!$A$62,$AF$205^A122,IF(A122='Données projet'!$A$62,'Données projet'!$B$62,AI121+AH122-AQ121)))</f>
        <v>322.61199999999997</v>
      </c>
      <c r="AJ122" s="13">
        <f>AI122*VLOOKUP('Données projet'!$B$10,Paramètres!$A$1:$I$89,3,0)*VLOOKUP('Données projet'!$B$10,Paramètres!$A$1:$I$89,5,0)</f>
        <v>271.76834880000001</v>
      </c>
      <c r="AK122" s="13">
        <f t="shared" si="89"/>
        <v>65.224414829377835</v>
      </c>
      <c r="AL122" s="20">
        <f t="shared" si="58"/>
        <v>586.92906332116638</v>
      </c>
      <c r="AM122" s="59">
        <f t="shared" si="59"/>
        <v>880.26239665449975</v>
      </c>
      <c r="AN122" s="59">
        <f ca="1">AVERAGE(OFFSET($AM$3,0,0,'Données projet'!$E$10+1,1))-AVERAGE(OFFSET($H$3,0,0,'Données projet'!$E$10+1,1))</f>
        <v>206.25389915739601</v>
      </c>
      <c r="AO122" s="59">
        <f t="shared" si="90"/>
        <v>155.24154927193064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47.711972392001115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47.711972392001115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101.08799999999984</v>
      </c>
      <c r="D123" s="11">
        <f t="shared" si="86"/>
        <v>27.221035075711917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990.45570935637159</v>
      </c>
      <c r="H123" s="67">
        <f t="shared" si="56"/>
        <v>516.80490275686464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6.4216666666666669</v>
      </c>
      <c r="N123" s="13">
        <f>IF('Données projet'!$A$36&gt;35,N122+M123-V122,IF(A123&lt;'Données projet'!$A$36,$K$205^A123,IF(A123='Données projet'!$A$36,'Données projet'!$B$36,N122+M123-V122)))</f>
        <v>274.25499999999994</v>
      </c>
      <c r="O123" s="13">
        <f>N123*VLOOKUP('Données projet'!$B$9,Paramètres!$A$1:$I$89,3,0)*VLOOKUP('Données projet'!$B$9,Paramètres!$A$1:$I$89,5,0)</f>
        <v>248.14592399999992</v>
      </c>
      <c r="P123" s="13">
        <f t="shared" si="87"/>
        <v>60.188746540816517</v>
      </c>
      <c r="Q123" s="20">
        <f t="shared" si="107"/>
        <v>537.01621785858867</v>
      </c>
      <c r="R123" s="59">
        <f t="shared" si="55"/>
        <v>830.34955119192205</v>
      </c>
      <c r="S123" s="59">
        <f ca="1">AVERAGE(OFFSET($R$3,0,0,'Données projet'!$E$9+1,1))-AVERAGE(OFFSET($H$3,0,0,'Données projet'!$E$9+1,1))</f>
        <v>233.2883475283553</v>
      </c>
      <c r="T123" s="59">
        <f t="shared" si="88"/>
        <v>211.4485324078031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49.053983038081086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49.053983038081086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7.3920000000000012</v>
      </c>
      <c r="AI123" s="13">
        <f>IF('Données projet'!$A$62&gt;35,AI122+AH123-AQ122,IF(A123&lt;'Données projet'!$A$62,$AF$205^A123,IF(A123='Données projet'!$A$62,'Données projet'!$B$62,AI122+AH123-AQ122)))</f>
        <v>330.00399999999996</v>
      </c>
      <c r="AJ123" s="13">
        <f>AI123*VLOOKUP('Données projet'!$B$10,Paramètres!$A$1:$I$89,3,0)*VLOOKUP('Données projet'!$B$10,Paramètres!$A$1:$I$89,5,0)</f>
        <v>277.9953696</v>
      </c>
      <c r="AK123" s="13">
        <f t="shared" si="89"/>
        <v>66.543195859920587</v>
      </c>
      <c r="AL123" s="20">
        <f t="shared" si="58"/>
        <v>600.07133484269514</v>
      </c>
      <c r="AM123" s="59">
        <f t="shared" si="59"/>
        <v>893.40466817602851</v>
      </c>
      <c r="AN123" s="59">
        <f ca="1">AVERAGE(OFFSET($AM$3,0,0,'Données projet'!$E$10+1,1))-AVERAGE(OFFSET($H$3,0,0,'Données projet'!$E$10+1,1))</f>
        <v>206.25389915739601</v>
      </c>
      <c r="AO123" s="59">
        <f t="shared" si="90"/>
        <v>155.24154927193064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46.776369714823602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46.776369714823602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101.93039999999984</v>
      </c>
      <c r="D124" s="11">
        <f t="shared" si="86"/>
        <v>27.421375718582134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998.50493537150987</v>
      </c>
      <c r="H124" s="67">
        <f t="shared" si="56"/>
        <v>518.6210093765302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6.4216666666666669</v>
      </c>
      <c r="N124" s="13">
        <f>IF('Données projet'!$A$36&gt;35,N123+M124-V123,IF(A124&lt;'Données projet'!$A$36,$K$205^A124,IF(A124='Données projet'!$A$36,'Données projet'!$B$36,N123+M124-V123)))</f>
        <v>280.67666666666662</v>
      </c>
      <c r="O124" s="13">
        <f>N124*VLOOKUP('Données projet'!$B$9,Paramètres!$A$1:$I$89,3,0)*VLOOKUP('Données projet'!$B$9,Paramètres!$A$1:$I$89,5,0)</f>
        <v>253.95624799999996</v>
      </c>
      <c r="P124" s="13">
        <f t="shared" si="87"/>
        <v>61.432336117502565</v>
      </c>
      <c r="Q124" s="20">
        <f t="shared" si="107"/>
        <v>549.30178400465024</v>
      </c>
      <c r="R124" s="59">
        <f t="shared" si="55"/>
        <v>842.6351173379835</v>
      </c>
      <c r="S124" s="59">
        <f ca="1">AVERAGE(OFFSET($R$3,0,0,'Données projet'!$E$9+1,1))-AVERAGE(OFFSET($H$3,0,0,'Données projet'!$E$9+1,1))</f>
        <v>233.2883475283553</v>
      </c>
      <c r="T124" s="59">
        <f t="shared" si="88"/>
        <v>211.4485324078031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48.092064350679614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48.092064350679614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7.3920000000000012</v>
      </c>
      <c r="AI124" s="13">
        <f>IF('Données projet'!$A$62&gt;35,AI123+AH124-AQ123,IF(A124&lt;'Données projet'!$A$62,$AF$205^A124,IF(A124='Données projet'!$A$62,'Données projet'!$B$62,AI123+AH124-AQ123)))</f>
        <v>337.39599999999996</v>
      </c>
      <c r="AJ124" s="13">
        <f>AI124*VLOOKUP('Données projet'!$B$10,Paramètres!$A$1:$I$89,3,0)*VLOOKUP('Données projet'!$B$10,Paramètres!$A$1:$I$89,5,0)</f>
        <v>284.22239039999999</v>
      </c>
      <c r="AK124" s="13">
        <f t="shared" si="89"/>
        <v>67.858542570434679</v>
      </c>
      <c r="AL124" s="20">
        <f t="shared" si="58"/>
        <v>613.20762492350696</v>
      </c>
      <c r="AM124" s="59">
        <f t="shared" si="59"/>
        <v>906.54095825684021</v>
      </c>
      <c r="AN124" s="59">
        <f ca="1">AVERAGE(OFFSET($AM$3,0,0,'Données projet'!$E$10+1,1))-AVERAGE(OFFSET($H$3,0,0,'Données projet'!$E$10+1,1))</f>
        <v>206.25389915739601</v>
      </c>
      <c r="AO124" s="59">
        <f t="shared" si="90"/>
        <v>155.24154927193064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45.859113635484256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45.859113635484256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102.77279999999983</v>
      </c>
      <c r="D125" s="11">
        <f t="shared" si="86"/>
        <v>27.62152372741502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1006.552674387062</v>
      </c>
      <c r="H125" s="67">
        <f t="shared" si="56"/>
        <v>520.43678049191419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6.4216666666666669</v>
      </c>
      <c r="N125" s="13">
        <f>IF('Données projet'!$A$36&gt;35,N124+M125-V124,IF(A125&lt;'Données projet'!$A$36,$K$205^A125,IF(A125='Données projet'!$A$36,'Données projet'!$B$36,N124+M125-V124)))</f>
        <v>287.0983333333333</v>
      </c>
      <c r="O125" s="13">
        <f>N125*VLOOKUP('Données projet'!$B$9,Paramètres!$A$1:$I$89,3,0)*VLOOKUP('Données projet'!$B$9,Paramètres!$A$1:$I$89,5,0)</f>
        <v>259.76657199999994</v>
      </c>
      <c r="P125" s="13">
        <f t="shared" si="87"/>
        <v>62.672617938810177</v>
      </c>
      <c r="Q125" s="20">
        <f t="shared" si="107"/>
        <v>561.58158914342755</v>
      </c>
      <c r="R125" s="59">
        <f t="shared" si="55"/>
        <v>854.91492247676092</v>
      </c>
      <c r="S125" s="59">
        <f ca="1">AVERAGE(OFFSET($R$3,0,0,'Données projet'!$E$9+1,1))-AVERAGE(OFFSET($H$3,0,0,'Données projet'!$E$9+1,1))</f>
        <v>233.2883475283553</v>
      </c>
      <c r="T125" s="59">
        <f t="shared" si="88"/>
        <v>211.4485324078031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47.149008302025621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47.149008302025621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7.3920000000000012</v>
      </c>
      <c r="AI125" s="13">
        <f>IF('Données projet'!$A$62&gt;35,AI124+AH125-AQ124,IF(A125&lt;'Données projet'!$A$62,$AF$205^A125,IF(A125='Données projet'!$A$62,'Données projet'!$B$62,AI124+AH125-AQ124)))</f>
        <v>344.78799999999995</v>
      </c>
      <c r="AJ125" s="13">
        <f>AI125*VLOOKUP('Données projet'!$B$10,Paramètres!$A$1:$I$89,3,0)*VLOOKUP('Données projet'!$B$10,Paramètres!$A$1:$I$89,5,0)</f>
        <v>290.44941119999999</v>
      </c>
      <c r="AK125" s="13">
        <f t="shared" si="89"/>
        <v>69.17053886810632</v>
      </c>
      <c r="AL125" s="20">
        <f t="shared" si="58"/>
        <v>626.33807970195176</v>
      </c>
      <c r="AM125" s="59">
        <f t="shared" si="59"/>
        <v>919.67141303528501</v>
      </c>
      <c r="AN125" s="59">
        <f ca="1">AVERAGE(OFFSET($AM$3,0,0,'Données projet'!$E$10+1,1))-AVERAGE(OFFSET($H$3,0,0,'Données projet'!$E$10+1,1))</f>
        <v>206.25389915739601</v>
      </c>
      <c r="AO125" s="59">
        <f t="shared" si="90"/>
        <v>155.24154927193064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44.95984438838979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44.95984438838979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103.61519999999983</v>
      </c>
      <c r="D126" s="11">
        <f t="shared" si="86"/>
        <v>27.821480864168862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1014.5989400041094</v>
      </c>
      <c r="H126" s="67">
        <f t="shared" si="56"/>
        <v>522.25221917176043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6.4216666666666669</v>
      </c>
      <c r="N126" s="13">
        <f>IF('Données projet'!$A$36&gt;35,N125+M126-V125,IF(A126&lt;'Données projet'!$A$36,$K$205^A126,IF(A126='Données projet'!$A$36,'Données projet'!$B$36,N125+M126-V125)))</f>
        <v>293.52</v>
      </c>
      <c r="O126" s="13">
        <f>N126*VLOOKUP('Données projet'!$B$9,Paramètres!$A$1:$I$89,3,0)*VLOOKUP('Données projet'!$B$9,Paramètres!$A$1:$I$89,5,0)</f>
        <v>265.57689599999998</v>
      </c>
      <c r="P126" s="13">
        <f t="shared" si="87"/>
        <v>63.909674509353529</v>
      </c>
      <c r="Q126" s="20">
        <f t="shared" si="107"/>
        <v>573.85577697045733</v>
      </c>
      <c r="R126" s="59">
        <f t="shared" si="55"/>
        <v>867.18911030379059</v>
      </c>
      <c r="S126" s="59">
        <f ca="1">AVERAGE(OFFSET($R$3,0,0,'Données projet'!$E$9+1,1))-AVERAGE(OFFSET($H$3,0,0,'Données projet'!$E$9+1,1))</f>
        <v>233.2883475283553</v>
      </c>
      <c r="T126" s="59">
        <f t="shared" si="88"/>
        <v>211.4485324078031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46.224445007278341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46.224445007278341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352.18</v>
      </c>
      <c r="AG126" s="12">
        <f>VLOOKUP(A126,'Données projet'!$A$61:$I$81,9,0)</f>
        <v>7.3920000000000012</v>
      </c>
      <c r="AH126" s="12">
        <f t="array" ref="AH126">INDEX(AG:AG,MIN(IF(ISNUMBER(AG126:AG322),ROW(AG126:AG322),"")))</f>
        <v>7.3920000000000012</v>
      </c>
      <c r="AI126" s="13">
        <f>IF('Données projet'!$A$62&gt;35,AI125+AH126-AQ125,IF(A126&lt;'Données projet'!$A$62,$AF$205^A126,IF(A126='Données projet'!$A$62,'Données projet'!$B$62,AI125+AH126-AQ125)))</f>
        <v>352.17999999999995</v>
      </c>
      <c r="AJ126" s="13">
        <f>AI126*VLOOKUP('Données projet'!$B$10,Paramètres!$A$1:$I$89,3,0)*VLOOKUP('Données projet'!$B$10,Paramètres!$A$1:$I$89,5,0)</f>
        <v>296.67643200000003</v>
      </c>
      <c r="AK126" s="13">
        <f t="shared" si="89"/>
        <v>70.479264856783857</v>
      </c>
      <c r="AL126" s="20">
        <f t="shared" si="58"/>
        <v>639.46283869223191</v>
      </c>
      <c r="AM126" s="59">
        <f t="shared" si="59"/>
        <v>932.79617202556528</v>
      </c>
      <c r="AN126" s="59">
        <f ca="1">AVERAGE(OFFSET($AM$3,0,0,'Données projet'!$E$10+1,1))-AVERAGE(OFFSET($H$3,0,0,'Données projet'!$E$10+1,1))</f>
        <v>206.25389915739601</v>
      </c>
      <c r="AO126" s="59">
        <f t="shared" si="90"/>
        <v>155.24154927193064</v>
      </c>
      <c r="AP126" s="15">
        <f>IF(ISNA(VLOOKUP(A126,'Données projet'!$A$61:$I$81,3,0)),0,VLOOKUP(A126,'Données projet'!$A$61:$I$81,3,0))</f>
        <v>11</v>
      </c>
      <c r="AQ126" s="15">
        <f>IF(ISNA(VLOOKUP(A126,'Données projet'!$A$61:$I$81,4,0)),0,VLOOKUP(A126,'Données projet'!$A$61:$I$81,4,0))</f>
        <v>175.3</v>
      </c>
      <c r="AR126" s="16">
        <f>IF(ISNA(VLOOKUP(A126,'Données projet'!$A$61:$I$81,5,0)),0%,VLOOKUP(A126,'Données projet'!$A$61:$I$81,5,0)*VLOOKUP('Données projet'!$B$10,Paramètres!$A$1:$I$89,7,0))</f>
        <v>0.25800000000000001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86.19614626159705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86.19614626159705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104.45759999999983</v>
      </c>
      <c r="D127" s="11">
        <f t="shared" si="86"/>
        <v>28.021248860498222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1022.6437455898098</v>
      </c>
      <c r="H127" s="67">
        <f t="shared" si="56"/>
        <v>524.06732843203406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6.4216666666666669</v>
      </c>
      <c r="N127" s="13">
        <f>IF('Données projet'!$A$36&gt;35,N126+M127-V126,IF(A127&lt;'Données projet'!$A$36,$K$205^A127,IF(A127='Données projet'!$A$36,'Données projet'!$B$36,N126+M127-V126)))</f>
        <v>299.94166666666666</v>
      </c>
      <c r="O127" s="13">
        <f>N127*VLOOKUP('Données projet'!$B$9,Paramètres!$A$1:$I$89,3,0)*VLOOKUP('Données projet'!$B$9,Paramètres!$A$1:$I$89,5,0)</f>
        <v>271.38722000000001</v>
      </c>
      <c r="P127" s="13">
        <f t="shared" si="87"/>
        <v>65.14358451749257</v>
      </c>
      <c r="Q127" s="20">
        <f t="shared" si="107"/>
        <v>586.12448453463287</v>
      </c>
      <c r="R127" s="59">
        <f t="shared" si="55"/>
        <v>879.45781786796624</v>
      </c>
      <c r="S127" s="59">
        <f ca="1">AVERAGE(OFFSET($R$3,0,0,'Données projet'!$E$9+1,1))-AVERAGE(OFFSET($H$3,0,0,'Données projet'!$E$9+1,1))</f>
        <v>233.2883475283553</v>
      </c>
      <c r="T127" s="59">
        <f t="shared" si="88"/>
        <v>211.4485324078031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45.318011834813127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45.318011834813127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4.085000000000008</v>
      </c>
      <c r="AI127" s="13">
        <f>IF('Données projet'!$A$62&gt;35,AI126+AH127-AQ126,IF(A127&lt;'Données projet'!$A$62,$AF$205^A127,IF(A127='Données projet'!$A$62,'Données projet'!$B$62,AI126+AH127-AQ126)))</f>
        <v>180.96499999999997</v>
      </c>
      <c r="AJ127" s="13">
        <f>AI127*VLOOKUP('Données projet'!$B$10,Paramètres!$A$1:$I$89,3,0)*VLOOKUP('Données projet'!$B$10,Paramètres!$A$1:$I$89,5,0)</f>
        <v>152.44491600000001</v>
      </c>
      <c r="AK127" s="13">
        <f t="shared" si="89"/>
        <v>39.133677652296996</v>
      </c>
      <c r="AL127" s="20">
        <f t="shared" si="58"/>
        <v>333.6660506110839</v>
      </c>
      <c r="AM127" s="59">
        <f t="shared" si="59"/>
        <v>626.99938394441722</v>
      </c>
      <c r="AN127" s="59">
        <f ca="1">AVERAGE(OFFSET($AM$3,0,0,'Données projet'!$E$10+1,1))-AVERAGE(OFFSET($H$3,0,0,'Données projet'!$E$10+1,1))</f>
        <v>206.25389915739601</v>
      </c>
      <c r="AO127" s="59">
        <f t="shared" si="90"/>
        <v>155.24154927193064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84.505892407865062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84.505892407865062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105.29999999999983</v>
      </c>
      <c r="D128" s="11">
        <f t="shared" si="86"/>
        <v>28.220829418514981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1030.6871042832722</v>
      </c>
      <c r="H128" s="67">
        <f t="shared" si="56"/>
        <v>525.88211123724659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6.4216666666666669</v>
      </c>
      <c r="N128" s="13">
        <f>IF('Données projet'!$A$36&gt;35,N127+M128-V127,IF(A128&lt;'Données projet'!$A$36,$K$205^A128,IF(A128='Données projet'!$A$36,'Données projet'!$B$36,N127+M128-V127)))</f>
        <v>306.36333333333334</v>
      </c>
      <c r="O128" s="13">
        <f>N128*VLOOKUP('Données projet'!$B$9,Paramètres!$A$1:$I$89,3,0)*VLOOKUP('Données projet'!$B$9,Paramètres!$A$1:$I$89,5,0)</f>
        <v>277.19754399999999</v>
      </c>
      <c r="P128" s="13">
        <f t="shared" si="87"/>
        <v>66.374423089718917</v>
      </c>
      <c r="Q128" s="20">
        <f t="shared" si="107"/>
        <v>598.38784268126039</v>
      </c>
      <c r="R128" s="59">
        <f t="shared" si="55"/>
        <v>891.72117601459377</v>
      </c>
      <c r="S128" s="59">
        <f ca="1">AVERAGE(OFFSET($R$3,0,0,'Données projet'!$E$9+1,1))-AVERAGE(OFFSET($H$3,0,0,'Données projet'!$E$9+1,1))</f>
        <v>233.2883475283553</v>
      </c>
      <c r="T128" s="59">
        <f t="shared" si="88"/>
        <v>211.4485324078031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44.429353263990315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44.429353263990315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185.05</v>
      </c>
      <c r="AG128" s="12">
        <f>VLOOKUP(A128,'Données projet'!$A$61:$I$81,9,0)</f>
        <v>4.085000000000008</v>
      </c>
      <c r="AH128" s="12">
        <f t="array" ref="AH128">INDEX(AG:AG,MIN(IF(ISNUMBER(AG128:AG324),ROW(AG128:AG324),"")))</f>
        <v>4.085000000000008</v>
      </c>
      <c r="AI128" s="13">
        <f>IF('Données projet'!$A$62&gt;35,AI127+AH128-AQ127,IF(A128&lt;'Données projet'!$A$62,$AF$205^A128,IF(A128='Données projet'!$A$62,'Données projet'!$B$62,AI127+AH128-AQ127)))</f>
        <v>185.04999999999998</v>
      </c>
      <c r="AJ128" s="13">
        <f>AI128*VLOOKUP('Données projet'!$B$10,Paramètres!$A$1:$I$89,3,0)*VLOOKUP('Données projet'!$B$10,Paramètres!$A$1:$I$89,5,0)</f>
        <v>155.88612000000001</v>
      </c>
      <c r="AK128" s="13">
        <f t="shared" si="89"/>
        <v>39.913216292713308</v>
      </c>
      <c r="AL128" s="20">
        <f t="shared" si="58"/>
        <v>341.01717737647567</v>
      </c>
      <c r="AM128" s="59">
        <f t="shared" si="59"/>
        <v>634.35051070980899</v>
      </c>
      <c r="AN128" s="59">
        <f ca="1">AVERAGE(OFFSET($AM$3,0,0,'Données projet'!$E$10+1,1))-AVERAGE(OFFSET($H$3,0,0,'Données projet'!$E$10+1,1))</f>
        <v>206.25389915739601</v>
      </c>
      <c r="AO128" s="59">
        <f t="shared" si="90"/>
        <v>155.24154927193064</v>
      </c>
      <c r="AP128" s="15">
        <f>IF(ISNA(VLOOKUP(A128,'Données projet'!$A$61:$I$81,3,0)),0,VLOOKUP(A128,'Données projet'!$A$61:$I$81,3,0))</f>
        <v>12</v>
      </c>
      <c r="AQ128" s="15">
        <f>IF(ISNA(VLOOKUP(A128,'Données projet'!$A$61:$I$81,4,0)),0,VLOOKUP(A128,'Données projet'!$A$61:$I$81,4,0))</f>
        <v>60.7</v>
      </c>
      <c r="AR128" s="16">
        <f>IF(ISNA(VLOOKUP(A128,'Données projet'!$A$61:$I$81,5,0)),0%,VLOOKUP(A128,'Données projet'!$A$61:$I$81,5,0)*VLOOKUP('Données projet'!$B$10,Paramètres!$A$1:$I$89,7,0))</f>
        <v>0.25800000000000001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97.432689709472925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97.432689709472925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106.14239999999982</v>
      </c>
      <c r="D129" s="11">
        <f t="shared" si="86"/>
        <v>28.420224211524925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1038.7290290012436</v>
      </c>
      <c r="H129" s="67">
        <f t="shared" si="56"/>
        <v>527.69657050173896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6.4216666666666669</v>
      </c>
      <c r="N129" s="13">
        <f>IF('Données projet'!$A$36&gt;35,N128+M129-V128,IF(A129&lt;'Données projet'!$A$36,$K$205^A129,IF(A129='Données projet'!$A$36,'Données projet'!$B$36,N128+M129-V128)))</f>
        <v>312.78500000000003</v>
      </c>
      <c r="O129" s="13">
        <f>N129*VLOOKUP('Données projet'!$B$9,Paramètres!$A$1:$I$89,3,0)*VLOOKUP('Données projet'!$B$9,Paramètres!$A$1:$I$89,5,0)</f>
        <v>283.00786800000003</v>
      </c>
      <c r="P129" s="13">
        <f t="shared" si="87"/>
        <v>67.602262023111876</v>
      </c>
      <c r="Q129" s="20">
        <f t="shared" si="107"/>
        <v>610.64597645691981</v>
      </c>
      <c r="R129" s="59">
        <f t="shared" si="55"/>
        <v>903.97930979025318</v>
      </c>
      <c r="S129" s="59">
        <f ca="1">AVERAGE(OFFSET($R$3,0,0,'Données projet'!$E$9+1,1))-AVERAGE(OFFSET($H$3,0,0,'Données projet'!$E$9+1,1))</f>
        <v>233.2883475283553</v>
      </c>
      <c r="T129" s="59">
        <f t="shared" si="88"/>
        <v>211.4485324078031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43.558120745713126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43.558120745713126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2.7899999999999991</v>
      </c>
      <c r="AI129" s="13">
        <f>IF('Données projet'!$A$62&gt;35,AI128+AH129-AQ128,IF(A129&lt;'Données projet'!$A$62,$AF$205^A129,IF(A129='Données projet'!$A$62,'Données projet'!$B$62,AI128+AH129-AQ128)))</f>
        <v>127.13999999999997</v>
      </c>
      <c r="AJ129" s="13">
        <f>AI129*VLOOKUP('Données projet'!$B$10,Paramètres!$A$1:$I$89,3,0)*VLOOKUP('Données projet'!$B$10,Paramètres!$A$1:$I$89,5,0)</f>
        <v>107.10273599999999</v>
      </c>
      <c r="AK129" s="13">
        <f t="shared" si="89"/>
        <v>28.647309778652222</v>
      </c>
      <c r="AL129" s="20">
        <f t="shared" si="58"/>
        <v>236.43132973115257</v>
      </c>
      <c r="AM129" s="59">
        <f t="shared" si="59"/>
        <v>529.76466306448583</v>
      </c>
      <c r="AN129" s="59">
        <f ca="1">AVERAGE(OFFSET($AM$3,0,0,'Données projet'!$E$10+1,1))-AVERAGE(OFFSET($H$3,0,0,'Données projet'!$E$10+1,1))</f>
        <v>206.25389915739601</v>
      </c>
      <c r="AO129" s="59">
        <f t="shared" si="90"/>
        <v>155.24154927193064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95.522094092342854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95.522094092342854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106.98479999999982</v>
      </c>
      <c r="D130" s="11">
        <f t="shared" si="86"/>
        <v>28.619434884739569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1046.7695324436022</v>
      </c>
      <c r="H130" s="67">
        <f t="shared" si="56"/>
        <v>529.51070909092107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6.4216666666666669</v>
      </c>
      <c r="N130" s="13">
        <f>IF('Données projet'!$A$36&gt;35,N129+M130-V129,IF(A130&lt;'Données projet'!$A$36,$K$205^A130,IF(A130='Données projet'!$A$36,'Données projet'!$B$36,N129+M130-V129)))</f>
        <v>319.20666666666671</v>
      </c>
      <c r="O130" s="13">
        <f>N130*VLOOKUP('Données projet'!$B$9,Paramètres!$A$1:$I$89,3,0)*VLOOKUP('Données projet'!$B$9,Paramètres!$A$1:$I$89,5,0)</f>
        <v>288.81819200000001</v>
      </c>
      <c r="P130" s="13">
        <f t="shared" si="87"/>
        <v>68.827169998164408</v>
      </c>
      <c r="Q130" s="20">
        <f t="shared" si="107"/>
        <v>622.89900548013622</v>
      </c>
      <c r="R130" s="59">
        <f t="shared" si="55"/>
        <v>916.2323388134696</v>
      </c>
      <c r="S130" s="59">
        <f ca="1">AVERAGE(OFFSET($R$3,0,0,'Données projet'!$E$9+1,1))-AVERAGE(OFFSET($H$3,0,0,'Données projet'!$E$9+1,1))</f>
        <v>233.2883475283553</v>
      </c>
      <c r="T130" s="59">
        <f t="shared" si="88"/>
        <v>211.4485324078031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42.703972565719994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42.703972565719994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129.93</v>
      </c>
      <c r="AG130" s="12">
        <f>VLOOKUP(A130,'Données projet'!$A$61:$I$81,9,0)</f>
        <v>2.7899999999999991</v>
      </c>
      <c r="AH130" s="12">
        <f t="array" ref="AH130">INDEX(AG:AG,MIN(IF(ISNUMBER(AG130:AG326),ROW(AG130:AG326),"")))</f>
        <v>2.7899999999999991</v>
      </c>
      <c r="AI130" s="13">
        <f>IF('Données projet'!$A$62&gt;35,AI129+AH130-AQ129,IF(A130&lt;'Données projet'!$A$62,$AF$205^A130,IF(A130='Données projet'!$A$62,'Données projet'!$B$62,AI129+AH130-AQ129)))</f>
        <v>129.92999999999998</v>
      </c>
      <c r="AJ130" s="13">
        <f>AI130*VLOOKUP('Données projet'!$B$10,Paramètres!$A$1:$I$89,3,0)*VLOOKUP('Données projet'!$B$10,Paramètres!$A$1:$I$89,5,0)</f>
        <v>109.45303200000001</v>
      </c>
      <c r="AK130" s="13">
        <f t="shared" si="89"/>
        <v>29.202077281958992</v>
      </c>
      <c r="AL130" s="20">
        <f t="shared" si="58"/>
        <v>241.4909819994119</v>
      </c>
      <c r="AM130" s="59">
        <f t="shared" si="59"/>
        <v>534.82431533274519</v>
      </c>
      <c r="AN130" s="59">
        <f ca="1">AVERAGE(OFFSET($AM$3,0,0,'Données projet'!$E$10+1,1))-AVERAGE(OFFSET($H$3,0,0,'Données projet'!$E$10+1,1))</f>
        <v>206.25389915739601</v>
      </c>
      <c r="AO130" s="59">
        <f t="shared" si="90"/>
        <v>155.24154927193064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39.56</v>
      </c>
      <c r="AR130" s="16">
        <f>IF(ISNA(VLOOKUP(A130,'Données projet'!$A$61:$I$81,5,0)),0%,VLOOKUP(A130,'Données projet'!$A$61:$I$81,5,0)*VLOOKUP('Données projet'!$B$10,Paramètres!$A$1:$I$89,7,0))</f>
        <v>0.25800000000000001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103.15373070529095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103.15373070529095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107.82719999999982</v>
      </c>
      <c r="D131" s="11">
        <f t="shared" si="86"/>
        <v>28.818463055965431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1054.8086270986794</v>
      </c>
      <c r="H131" s="67">
        <f t="shared" si="56"/>
        <v>531.32452982247275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6.4216666666666669</v>
      </c>
      <c r="N131" s="13">
        <f>IF('Données projet'!$A$36&gt;35,N130+M131-V130,IF(A131&lt;'Données projet'!$A$36,$K$205^A131,IF(A131='Données projet'!$A$36,'Données projet'!$B$36,N130+M131-V130)))</f>
        <v>325.62833333333339</v>
      </c>
      <c r="O131" s="13">
        <f>N131*VLOOKUP('Données projet'!$B$9,Paramètres!$A$1:$I$89,3,0)*VLOOKUP('Données projet'!$B$9,Paramètres!$A$1:$I$89,5,0)</f>
        <v>294.62851600000005</v>
      </c>
      <c r="P131" s="13">
        <f t="shared" si="87"/>
        <v>70.049212774000466</v>
      </c>
      <c r="Q131" s="20">
        <f t="shared" ref="Q131:Q153" si="108">(O131+P131)*0.475*44/12</f>
        <v>635.14704428138418</v>
      </c>
      <c r="R131" s="59">
        <f t="shared" ref="R131:R194" si="109">Q131+(I131+J131)*44/12</f>
        <v>928.48037761471755</v>
      </c>
      <c r="S131" s="59">
        <f ca="1">AVERAGE(OFFSET($R$3,0,0,'Données projet'!$E$9+1,1))-AVERAGE(OFFSET($H$3,0,0,'Données projet'!$E$9+1,1))</f>
        <v>233.2883475283553</v>
      </c>
      <c r="T131" s="59">
        <f t="shared" si="88"/>
        <v>211.4485324078031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41.866573710557574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41.866573710557574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2.0666666666666629</v>
      </c>
      <c r="AI131" s="13">
        <f>IF('Données projet'!$A$62&gt;35,AI130+AH131-AQ130,IF(A131&lt;'Données projet'!$A$62,$AF$205^A131,IF(A131='Données projet'!$A$62,'Données projet'!$B$62,AI130+AH131-AQ130)))</f>
        <v>92.436666666666639</v>
      </c>
      <c r="AJ131" s="13">
        <f>AI131*VLOOKUP('Données projet'!$B$10,Paramètres!$A$1:$I$89,3,0)*VLOOKUP('Données projet'!$B$10,Paramètres!$A$1:$I$89,5,0)</f>
        <v>77.868647999999993</v>
      </c>
      <c r="AK131" s="13">
        <f t="shared" si="89"/>
        <v>21.615241321016015</v>
      </c>
      <c r="AL131" s="20">
        <f t="shared" si="58"/>
        <v>173.26777390076953</v>
      </c>
      <c r="AM131" s="59">
        <f t="shared" si="59"/>
        <v>466.60110723410287</v>
      </c>
      <c r="AN131" s="59">
        <f ca="1">AVERAGE(OFFSET($AM$3,0,0,'Données projet'!$E$10+1,1))-AVERAGE(OFFSET($H$3,0,0,'Données projet'!$E$10+1,1))</f>
        <v>206.25389915739601</v>
      </c>
      <c r="AO131" s="59">
        <f t="shared" si="90"/>
        <v>155.24154927193064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101.13094896372334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101.13094896372334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108.66959999999982</v>
      </c>
      <c r="D132" s="11">
        <f t="shared" si="86"/>
        <v>29.017310316271054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1062.8463252484069</v>
      </c>
      <c r="H132" s="67">
        <f t="shared" ref="H132:H195" si="110">(B132+E132+F132)*44/12+(C132+D132)*0.475*44/12</f>
        <v>533.13803546750512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>
        <f>VLOOKUP(A132,'Données projet'!$A$35:$I$55,2,0)</f>
        <v>332.05</v>
      </c>
      <c r="L132" s="12">
        <f>VLOOKUP(A132,'Données projet'!$A$35:$I$55,9,0)</f>
        <v>6.4216666666666669</v>
      </c>
      <c r="M132" s="12">
        <f t="array" ref="M132">INDEX(L:L,MIN(IF(ISNUMBER(L132:L328),ROW(L132:L328),"")))</f>
        <v>6.4216666666666669</v>
      </c>
      <c r="N132" s="13">
        <f>IF('Données projet'!$A$36&gt;35,N131+M132-V131,IF(A132&lt;'Données projet'!$A$36,$K$205^A132,IF(A132='Données projet'!$A$36,'Données projet'!$B$36,N131+M132-V131)))</f>
        <v>332.05000000000007</v>
      </c>
      <c r="O132" s="13">
        <f>N132*VLOOKUP('Données projet'!$B$9,Paramètres!$A$1:$I$89,3,0)*VLOOKUP('Données projet'!$B$9,Paramètres!$A$1:$I$89,5,0)</f>
        <v>300.43884000000003</v>
      </c>
      <c r="P132" s="13">
        <f t="shared" si="87"/>
        <v>71.268453367756692</v>
      </c>
      <c r="Q132" s="20">
        <f t="shared" si="108"/>
        <v>647.39020261550957</v>
      </c>
      <c r="R132" s="59">
        <f t="shared" si="109"/>
        <v>940.72353594884294</v>
      </c>
      <c r="S132" s="59">
        <f ca="1">AVERAGE(OFFSET($R$3,0,0,'Données projet'!$E$9+1,1))-AVERAGE(OFFSET($H$3,0,0,'Données projet'!$E$9+1,1))</f>
        <v>233.2883475283553</v>
      </c>
      <c r="T132" s="59">
        <f t="shared" si="88"/>
        <v>211.4485324078031</v>
      </c>
      <c r="U132" s="15">
        <f>IF(ISNA(VLOOKUP(A132,'Données projet'!$A$35:$I$55,3,0)),0,VLOOKUP(A132,'Données projet'!$A$35:$I$55,3,0))</f>
        <v>11</v>
      </c>
      <c r="V132" s="15">
        <f>IF(ISNA(VLOOKUP(A132,'Données projet'!$A$35:$I$55,4,0)),0,VLOOKUP(A132,'Données projet'!$A$35:$I$55,4,0))</f>
        <v>54</v>
      </c>
      <c r="W132" s="16">
        <f>IF(ISNA(VLOOKUP(A132,'Données projet'!$A$35:$I$55,5,0)),0%,VLOOKUP(A132,'Données projet'!$A$35:$I$55,5,0)*VLOOKUP('Données projet'!$B$9,Paramètres!$A$1:$I$89,7,0))</f>
        <v>0.25800000000000001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54.980794515042511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54.980794515042511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2.0666666666666629</v>
      </c>
      <c r="AI132" s="13">
        <f>IF('Données projet'!$A$62&gt;35,AI131+AH132-AQ131,IF(A132&lt;'Données projet'!$A$62,$AF$205^A132,IF(A132='Données projet'!$A$62,'Données projet'!$B$62,AI131+AH132-AQ131)))</f>
        <v>94.503333333333302</v>
      </c>
      <c r="AJ132" s="13">
        <f>AI132*VLOOKUP('Données projet'!$B$10,Paramètres!$A$1:$I$89,3,0)*VLOOKUP('Données projet'!$B$10,Paramètres!$A$1:$I$89,5,0)</f>
        <v>79.60960799999998</v>
      </c>
      <c r="AK132" s="13">
        <f t="shared" si="89"/>
        <v>22.04170409618445</v>
      </c>
      <c r="AL132" s="20">
        <f t="shared" ref="AL132:AL153" si="112">(AJ132+AK132)*0.475*44/12</f>
        <v>177.0427019008545</v>
      </c>
      <c r="AM132" s="59">
        <f t="shared" ref="AM132:AM195" si="113">AL132+(AD132+AE132)*44/12</f>
        <v>470.37603523418784</v>
      </c>
      <c r="AN132" s="59">
        <f ca="1">AVERAGE(OFFSET($AM$3,0,0,'Données projet'!$E$10+1,1))-AVERAGE(OFFSET($H$3,0,0,'Données projet'!$E$10+1,1))</f>
        <v>206.25389915739601</v>
      </c>
      <c r="AO132" s="59">
        <f t="shared" si="90"/>
        <v>155.24154927193064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99.147832738332824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99.147832738332824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109.51199999999982</v>
      </c>
      <c r="D133" s="11">
        <f t="shared" ref="D133:D196" si="140">IFERROR(EXP(-1.0587+0.8836*LN(C133)+0.284),0)</f>
        <v>29.215978230632501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1070.8826389733022</v>
      </c>
      <c r="H133" s="67">
        <f t="shared" si="110"/>
        <v>534.95122875168454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6.5958333333333314</v>
      </c>
      <c r="N133" s="13">
        <f>IF('Données projet'!$A$36&gt;35,N132+M133-V132,IF(A133&lt;'Données projet'!$A$36,$K$205^A133,IF(A133='Données projet'!$A$36,'Données projet'!$B$36,N132+M133-V132)))</f>
        <v>284.64583333333337</v>
      </c>
      <c r="O133" s="13">
        <f>N133*VLOOKUP('Données projet'!$B$9,Paramètres!$A$1:$I$89,3,0)*VLOOKUP('Données projet'!$B$9,Paramètres!$A$1:$I$89,5,0)</f>
        <v>257.54755</v>
      </c>
      <c r="P133" s="13">
        <f t="shared" ref="P133:P196" si="141">EXP(-1.0587+0.8836*LN(O133)+0.284)</f>
        <v>62.199326727387884</v>
      </c>
      <c r="Q133" s="20">
        <f t="shared" si="108"/>
        <v>556.89247696686721</v>
      </c>
      <c r="R133" s="59">
        <f t="shared" si="109"/>
        <v>850.22581030020046</v>
      </c>
      <c r="S133" s="59">
        <f ca="1">AVERAGE(OFFSET($R$3,0,0,'Données projet'!$E$9+1,1))-AVERAGE(OFFSET($H$3,0,0,'Données projet'!$E$9+1,1))</f>
        <v>233.2883475283553</v>
      </c>
      <c r="T133" s="59">
        <f t="shared" ref="T133:T196" si="142">$T$3</f>
        <v>211.4485324078031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53.902654669575881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53.902654669575881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96.57</v>
      </c>
      <c r="AG133" s="12">
        <f>VLOOKUP(A133,'Données projet'!$A$61:$I$81,9,0)</f>
        <v>2.0666666666666629</v>
      </c>
      <c r="AH133" s="12">
        <f t="array" ref="AH133">INDEX(AG:AG,MIN(IF(ISNUMBER(AG133:AG329),ROW(AG133:AG329),"")))</f>
        <v>2.0666666666666629</v>
      </c>
      <c r="AI133" s="13">
        <f>IF('Données projet'!$A$62&gt;35,AI132+AH133-AQ132,IF(A133&lt;'Données projet'!$A$62,$AF$205^A133,IF(A133='Données projet'!$A$62,'Données projet'!$B$62,AI132+AH133-AQ132)))</f>
        <v>96.569999999999965</v>
      </c>
      <c r="AJ133" s="13">
        <f>AI133*VLOOKUP('Données projet'!$B$10,Paramètres!$A$1:$I$89,3,0)*VLOOKUP('Données projet'!$B$10,Paramètres!$A$1:$I$89,5,0)</f>
        <v>81.350567999999981</v>
      </c>
      <c r="AK133" s="13">
        <f t="shared" ref="AK133:AK153" si="143">EXP(-1.0587+0.8836*LN(AJ133)+0.284)</f>
        <v>22.467082591541637</v>
      </c>
      <c r="AL133" s="20">
        <f t="shared" si="112"/>
        <v>180.81574144693499</v>
      </c>
      <c r="AM133" s="59">
        <f t="shared" si="113"/>
        <v>474.14907478026828</v>
      </c>
      <c r="AN133" s="59">
        <f ca="1">AVERAGE(OFFSET($AM$3,0,0,'Données projet'!$E$10+1,1))-AVERAGE(OFFSET($H$3,0,0,'Données projet'!$E$10+1,1))</f>
        <v>206.25389915739601</v>
      </c>
      <c r="AO133" s="59">
        <f t="shared" ref="AO133:AO196" si="144">$AO$3</f>
        <v>155.24154927193064</v>
      </c>
      <c r="AP133" s="15">
        <f>IF(ISNA(VLOOKUP(A133,'Données projet'!$A$61:$I$81,3,0)),0,VLOOKUP(A133,'Données projet'!$A$61:$I$81,3,0))</f>
        <v>14</v>
      </c>
      <c r="AQ133" s="15">
        <f>IF(ISNA(VLOOKUP(A133,'Données projet'!$A$61:$I$81,4,0)),0,VLOOKUP(A133,'Données projet'!$A$61:$I$81,4,0))</f>
        <v>96.57</v>
      </c>
      <c r="AR133" s="16">
        <f>IF(ISNA(VLOOKUP(A133,'Données projet'!$A$61:$I$81,5,0)),0%,VLOOKUP(A133,'Données projet'!$A$61:$I$81,5,0)*VLOOKUP('Données projet'!$B$10,Paramètres!$A$1:$I$89,7,0))</f>
        <v>0.25800000000000001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120.40571017934347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120.40571017934347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110.35439999999981</v>
      </c>
      <c r="D134" s="11">
        <f t="shared" si="140"/>
        <v>29.414468338558699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1078.917580157294</v>
      </c>
      <c r="H134" s="67">
        <f t="shared" si="110"/>
        <v>536.7641123563227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6.5958333333333314</v>
      </c>
      <c r="N134" s="13">
        <f>IF('Données projet'!$A$36&gt;35,N133+M134-V133,IF(A134&lt;'Données projet'!$A$36,$K$205^A134,IF(A134='Données projet'!$A$36,'Données projet'!$B$36,N133+M134-V133)))</f>
        <v>291.24166666666667</v>
      </c>
      <c r="O134" s="13">
        <f>N134*VLOOKUP('Données projet'!$B$9,Paramètres!$A$1:$I$89,3,0)*VLOOKUP('Données projet'!$B$9,Paramètres!$A$1:$I$89,5,0)</f>
        <v>263.51546000000002</v>
      </c>
      <c r="P134" s="13">
        <f t="shared" si="141"/>
        <v>63.471145227911833</v>
      </c>
      <c r="Q134" s="20">
        <f t="shared" si="108"/>
        <v>569.50167077194646</v>
      </c>
      <c r="R134" s="59">
        <f t="shared" si="109"/>
        <v>862.83500410527972</v>
      </c>
      <c r="S134" s="59">
        <f ca="1">AVERAGE(OFFSET($R$3,0,0,'Données projet'!$E$9+1,1))-AVERAGE(OFFSET($H$3,0,0,'Données projet'!$E$9+1,1))</f>
        <v>233.2883475283553</v>
      </c>
      <c r="T134" s="59">
        <f t="shared" si="142"/>
        <v>211.4485324078031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52.845656488878475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52.845656488878475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-2.8421709430404007E-14</v>
      </c>
      <c r="AJ134" s="13">
        <f>AI134*VLOOKUP('Données projet'!$B$10,Paramètres!$A$1:$I$89,3,0)*VLOOKUP('Données projet'!$B$10,Paramètres!$A$1:$I$89,5,0)</f>
        <v>-2.3942448024172337E-14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206.25389915739601</v>
      </c>
      <c r="AO134" s="59">
        <f t="shared" si="144"/>
        <v>155.24154927193064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118.04462764295813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118.04462764295813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111.19679999999981</v>
      </c>
      <c r="D135" s="11">
        <f t="shared" si="140"/>
        <v>29.612782154697079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1086.9511604923971</v>
      </c>
      <c r="H135" s="67">
        <f t="shared" si="110"/>
        <v>538.57668891943035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6.5958333333333314</v>
      </c>
      <c r="N135" s="13">
        <f>IF('Données projet'!$A$36&gt;35,N134+M135-V134,IF(A135&lt;'Données projet'!$A$36,$K$205^A135,IF(A135='Données projet'!$A$36,'Données projet'!$B$36,N134+M135-V134)))</f>
        <v>297.83749999999998</v>
      </c>
      <c r="O135" s="13">
        <f>N135*VLOOKUP('Données projet'!$B$9,Paramètres!$A$1:$I$89,3,0)*VLOOKUP('Données projet'!$B$9,Paramètres!$A$1:$I$89,5,0)</f>
        <v>269.48336999999998</v>
      </c>
      <c r="P135" s="13">
        <f t="shared" si="141"/>
        <v>64.739615144274239</v>
      </c>
      <c r="Q135" s="20">
        <f t="shared" si="108"/>
        <v>582.10503245961092</v>
      </c>
      <c r="R135" s="59">
        <f t="shared" si="109"/>
        <v>875.4383657929443</v>
      </c>
      <c r="S135" s="59">
        <f ca="1">AVERAGE(OFFSET($R$3,0,0,'Données projet'!$E$9+1,1))-AVERAGE(OFFSET($H$3,0,0,'Données projet'!$E$9+1,1))</f>
        <v>233.2883475283553</v>
      </c>
      <c r="T135" s="59">
        <f t="shared" si="142"/>
        <v>211.4485324078031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51.809385397799318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51.809385397799318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-2.8421709430404007E-14</v>
      </c>
      <c r="AJ135" s="13">
        <f>AI135*VLOOKUP('Données projet'!$B$10,Paramètres!$A$1:$I$89,3,0)*VLOOKUP('Données projet'!$B$10,Paramètres!$A$1:$I$89,5,0)</f>
        <v>-2.3942448024172337E-14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206.25389915739601</v>
      </c>
      <c r="AO135" s="59">
        <f t="shared" si="144"/>
        <v>155.24154927193064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115.72984449499316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115.72984449499316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112.03919999999981</v>
      </c>
      <c r="D136" s="11">
        <f t="shared" si="140"/>
        <v>29.810921169420148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1094.9833914832418</v>
      </c>
      <c r="H136" s="67">
        <f t="shared" si="110"/>
        <v>540.38896103673972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6.5958333333333314</v>
      </c>
      <c r="N136" s="13">
        <f>IF('Données projet'!$A$36&gt;35,N135+M136-V135,IF(A136&lt;'Données projet'!$A$36,$K$205^A136,IF(A136='Données projet'!$A$36,'Données projet'!$B$36,N135+M136-V135)))</f>
        <v>304.43333333333328</v>
      </c>
      <c r="O136" s="13">
        <f>N136*VLOOKUP('Données projet'!$B$9,Paramètres!$A$1:$I$89,3,0)*VLOOKUP('Données projet'!$B$9,Paramètres!$A$1:$I$89,5,0)</f>
        <v>275.45127999999994</v>
      </c>
      <c r="P136" s="13">
        <f t="shared" si="141"/>
        <v>66.004819172270913</v>
      </c>
      <c r="Q136" s="20">
        <f t="shared" si="108"/>
        <v>594.70270605837175</v>
      </c>
      <c r="R136" s="59">
        <f t="shared" si="109"/>
        <v>888.03603939170512</v>
      </c>
      <c r="S136" s="59">
        <f ca="1">AVERAGE(OFFSET($R$3,0,0,'Données projet'!$E$9+1,1))-AVERAGE(OFFSET($H$3,0,0,'Données projet'!$E$9+1,1))</f>
        <v>233.2883475283553</v>
      </c>
      <c r="T136" s="59">
        <f t="shared" si="142"/>
        <v>211.4485324078031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50.793434950753266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50.793434950753266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-2.8421709430404007E-14</v>
      </c>
      <c r="AJ136" s="13">
        <f>AI136*VLOOKUP('Données projet'!$B$10,Paramètres!$A$1:$I$89,3,0)*VLOOKUP('Données projet'!$B$10,Paramètres!$A$1:$I$89,5,0)</f>
        <v>-2.3942448024172337E-14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206.25389915739601</v>
      </c>
      <c r="AO136" s="59">
        <f t="shared" si="144"/>
        <v>155.24154927193064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113.46045283268148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113.46045283268148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112.88159999999981</v>
      </c>
      <c r="D137" s="11">
        <f t="shared" si="140"/>
        <v>30.00888684939423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1103.0142844514628</v>
      </c>
      <c r="H137" s="67">
        <f t="shared" si="110"/>
        <v>542.20093126269467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6.5958333333333314</v>
      </c>
      <c r="N137" s="13">
        <f>IF('Données projet'!$A$36&gt;35,N136+M137-V136,IF(A137&lt;'Données projet'!$A$36,$K$205^A137,IF(A137='Données projet'!$A$36,'Données projet'!$B$36,N136+M137-V136)))</f>
        <v>311.02916666666658</v>
      </c>
      <c r="O137" s="13">
        <f>N137*VLOOKUP('Données projet'!$B$9,Paramètres!$A$1:$I$89,3,0)*VLOOKUP('Données projet'!$B$9,Paramètres!$A$1:$I$89,5,0)</f>
        <v>281.4191899999999</v>
      </c>
      <c r="P137" s="13">
        <f t="shared" si="141"/>
        <v>67.266836219669187</v>
      </c>
      <c r="Q137" s="20">
        <f t="shared" si="108"/>
        <v>607.29482899925699</v>
      </c>
      <c r="R137" s="59">
        <f t="shared" si="109"/>
        <v>900.62816233259036</v>
      </c>
      <c r="S137" s="59">
        <f ca="1">AVERAGE(OFFSET($R$3,0,0,'Données projet'!$E$9+1,1))-AVERAGE(OFFSET($H$3,0,0,'Données projet'!$E$9+1,1))</f>
        <v>233.2883475283553</v>
      </c>
      <c r="T137" s="59">
        <f t="shared" si="142"/>
        <v>211.4485324078031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49.7974066723052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49.7974066723052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-2.8421709430404007E-14</v>
      </c>
      <c r="AJ137" s="13">
        <f>AI137*VLOOKUP('Données projet'!$B$10,Paramètres!$A$1:$I$89,3,0)*VLOOKUP('Données projet'!$B$10,Paramètres!$A$1:$I$89,5,0)</f>
        <v>-2.3942448024172337E-14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206.25389915739601</v>
      </c>
      <c r="AO137" s="59">
        <f t="shared" si="144"/>
        <v>155.24154927193064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111.23556255667549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111.23556255667549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113.7239999999998</v>
      </c>
      <c r="D138" s="11">
        <f t="shared" si="140"/>
        <v>30.206680638130464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1111.0438505399532</v>
      </c>
      <c r="H138" s="67">
        <f t="shared" si="110"/>
        <v>544.01260211141016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6.5958333333333314</v>
      </c>
      <c r="N138" s="13">
        <f>IF('Données projet'!$A$36&gt;35,N137+M138-V137,IF(A138&lt;'Données projet'!$A$36,$K$205^A138,IF(A138='Données projet'!$A$36,'Données projet'!$B$36,N137+M138-V137)))</f>
        <v>317.62499999999989</v>
      </c>
      <c r="O138" s="13">
        <f>N138*VLOOKUP('Données projet'!$B$9,Paramètres!$A$1:$I$89,3,0)*VLOOKUP('Données projet'!$B$9,Paramètres!$A$1:$I$89,5,0)</f>
        <v>287.38709999999986</v>
      </c>
      <c r="P138" s="13">
        <f t="shared" si="141"/>
        <v>68.525741656317152</v>
      </c>
      <c r="Q138" s="20">
        <f t="shared" si="108"/>
        <v>619.8815325514189</v>
      </c>
      <c r="R138" s="59">
        <f t="shared" si="109"/>
        <v>913.21486588475227</v>
      </c>
      <c r="S138" s="59">
        <f ca="1">AVERAGE(OFFSET($R$3,0,0,'Données projet'!$E$9+1,1))-AVERAGE(OFFSET($H$3,0,0,'Données projet'!$E$9+1,1))</f>
        <v>233.2883475283553</v>
      </c>
      <c r="T138" s="59">
        <f t="shared" si="142"/>
        <v>211.4485324078031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48.820909900880238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48.820909900880238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-2.8421709430404007E-14</v>
      </c>
      <c r="AJ138" s="13">
        <f>AI138*VLOOKUP('Données projet'!$B$10,Paramètres!$A$1:$I$89,3,0)*VLOOKUP('Données projet'!$B$10,Paramètres!$A$1:$I$89,5,0)</f>
        <v>-2.3942448024172337E-14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206.25389915739601</v>
      </c>
      <c r="AO138" s="59">
        <f t="shared" si="144"/>
        <v>155.24154927193064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109.05430102193291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109.05430102193291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114.5663999999998</v>
      </c>
      <c r="D139" s="11">
        <f t="shared" si="140"/>
        <v>30.404303956519161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1119.0721007169886</v>
      </c>
      <c r="H139" s="67">
        <f t="shared" si="110"/>
        <v>545.82397605760389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6.5958333333333314</v>
      </c>
      <c r="N139" s="13">
        <f>IF('Données projet'!$A$36&gt;35,N138+M139-V138,IF(A139&lt;'Données projet'!$A$36,$K$205^A139,IF(A139='Données projet'!$A$36,'Données projet'!$B$36,N138+M139-V138)))</f>
        <v>324.22083333333319</v>
      </c>
      <c r="O139" s="13">
        <f>N139*VLOOKUP('Données projet'!$B$9,Paramètres!$A$1:$I$89,3,0)*VLOOKUP('Données projet'!$B$9,Paramètres!$A$1:$I$89,5,0)</f>
        <v>293.35500999999988</v>
      </c>
      <c r="P139" s="13">
        <f t="shared" si="141"/>
        <v>69.781607542890981</v>
      </c>
      <c r="Q139" s="20">
        <f t="shared" si="108"/>
        <v>632.46294222053496</v>
      </c>
      <c r="R139" s="59">
        <f t="shared" si="109"/>
        <v>925.79627555386833</v>
      </c>
      <c r="S139" s="59">
        <f ca="1">AVERAGE(OFFSET($R$3,0,0,'Données projet'!$E$9+1,1))-AVERAGE(OFFSET($H$3,0,0,'Données projet'!$E$9+1,1))</f>
        <v>233.2883475283553</v>
      </c>
      <c r="T139" s="59">
        <f t="shared" si="142"/>
        <v>211.4485324078031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47.863561635538701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47.863561635538701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-2.8421709430404007E-14</v>
      </c>
      <c r="AJ139" s="13">
        <f>AI139*VLOOKUP('Données projet'!$B$10,Paramètres!$A$1:$I$89,3,0)*VLOOKUP('Données projet'!$B$10,Paramètres!$A$1:$I$89,5,0)</f>
        <v>-2.3942448024172337E-14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206.25389915739601</v>
      </c>
      <c r="AO139" s="59">
        <f t="shared" si="144"/>
        <v>155.24154927193064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106.91581269544847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106.91581269544847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115.4087999999998</v>
      </c>
      <c r="D140" s="11">
        <f t="shared" si="140"/>
        <v>30.601758203347956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1127.0990457802284</v>
      </c>
      <c r="H140" s="67">
        <f t="shared" si="110"/>
        <v>547.63505553749724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6.5958333333333314</v>
      </c>
      <c r="N140" s="13">
        <f>IF('Données projet'!$A$36&gt;35,N139+M140-V139,IF(A140&lt;'Données projet'!$A$36,$K$205^A140,IF(A140='Données projet'!$A$36,'Données projet'!$B$36,N139+M140-V139)))</f>
        <v>330.81666666666649</v>
      </c>
      <c r="O140" s="13">
        <f>N140*VLOOKUP('Données projet'!$B$9,Paramètres!$A$1:$I$89,3,0)*VLOOKUP('Données projet'!$B$9,Paramètres!$A$1:$I$89,5,0)</f>
        <v>299.32291999999984</v>
      </c>
      <c r="P140" s="13">
        <f t="shared" si="141"/>
        <v>71.034502840502597</v>
      </c>
      <c r="Q140" s="20">
        <f t="shared" si="108"/>
        <v>645.03917811387498</v>
      </c>
      <c r="R140" s="59">
        <f t="shared" si="109"/>
        <v>938.37251144720835</v>
      </c>
      <c r="S140" s="59">
        <f ca="1">AVERAGE(OFFSET($R$3,0,0,'Données projet'!$E$9+1,1))-AVERAGE(OFFSET($H$3,0,0,'Données projet'!$E$9+1,1))</f>
        <v>233.2883475283553</v>
      </c>
      <c r="T140" s="59">
        <f t="shared" si="142"/>
        <v>211.4485324078031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46.92498638575573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46.92498638575573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-2.8421709430404007E-14</v>
      </c>
      <c r="AJ140" s="13">
        <f>AI140*VLOOKUP('Données projet'!$B$10,Paramètres!$A$1:$I$89,3,0)*VLOOKUP('Données projet'!$B$10,Paramètres!$A$1:$I$89,5,0)</f>
        <v>-2.3942448024172337E-14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206.25389915739601</v>
      </c>
      <c r="AO140" s="59">
        <f t="shared" si="144"/>
        <v>155.24154927193064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104.8192588206973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104.8192588206973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116.2511999999998</v>
      </c>
      <c r="D141" s="11">
        <f t="shared" si="140"/>
        <v>30.799044755804299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1135.1246963605931</v>
      </c>
      <c r="H141" s="67">
        <f t="shared" si="110"/>
        <v>549.44584294969206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6.5958333333333314</v>
      </c>
      <c r="N141" s="13">
        <f>IF('Données projet'!$A$36&gt;35,N140+M141-V140,IF(A141&lt;'Données projet'!$A$36,$K$205^A141,IF(A141='Données projet'!$A$36,'Données projet'!$B$36,N140+M141-V140)))</f>
        <v>337.4124999999998</v>
      </c>
      <c r="O141" s="13">
        <f>N141*VLOOKUP('Données projet'!$B$9,Paramètres!$A$1:$I$89,3,0)*VLOOKUP('Données projet'!$B$9,Paramètres!$A$1:$I$89,5,0)</f>
        <v>305.2908299999998</v>
      </c>
      <c r="P141" s="13">
        <f t="shared" si="141"/>
        <v>72.28449360311869</v>
      </c>
      <c r="Q141" s="20">
        <f t="shared" si="108"/>
        <v>657.61035527543129</v>
      </c>
      <c r="R141" s="59">
        <f t="shared" si="109"/>
        <v>950.94368860876466</v>
      </c>
      <c r="S141" s="59">
        <f ca="1">AVERAGE(OFFSET($R$3,0,0,'Données projet'!$E$9+1,1))-AVERAGE(OFFSET($H$3,0,0,'Données projet'!$E$9+1,1))</f>
        <v>233.2883475283553</v>
      </c>
      <c r="T141" s="59">
        <f t="shared" si="142"/>
        <v>211.4485324078031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46.004816024146628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46.004816024146628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-2.8421709430404007E-14</v>
      </c>
      <c r="AJ141" s="13">
        <f>AI141*VLOOKUP('Données projet'!$B$10,Paramètres!$A$1:$I$89,3,0)*VLOOKUP('Données projet'!$B$10,Paramètres!$A$1:$I$89,5,0)</f>
        <v>-2.3942448024172337E-14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206.25389915739601</v>
      </c>
      <c r="AO141" s="59">
        <f t="shared" si="144"/>
        <v>155.24154927193064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102.7638170886584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102.7638170886584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117.0935999999998</v>
      </c>
      <c r="D142" s="11">
        <f t="shared" si="140"/>
        <v>30.99616496996326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1143.1490629260306</v>
      </c>
      <c r="H142" s="67">
        <f t="shared" si="110"/>
        <v>551.25634065601889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6.5958333333333314</v>
      </c>
      <c r="N142" s="13">
        <f>IF('Données projet'!$A$36&gt;35,N141+M142-V141,IF(A142&lt;'Données projet'!$A$36,$K$205^A142,IF(A142='Données projet'!$A$36,'Données projet'!$B$36,N141+M142-V141)))</f>
        <v>344.0083333333331</v>
      </c>
      <c r="O142" s="13">
        <f>N142*VLOOKUP('Données projet'!$B$9,Paramètres!$A$1:$I$89,3,0)*VLOOKUP('Données projet'!$B$9,Paramètres!$A$1:$I$89,5,0)</f>
        <v>311.25873999999976</v>
      </c>
      <c r="P142" s="13">
        <f t="shared" si="141"/>
        <v>73.531643154508103</v>
      </c>
      <c r="Q142" s="20">
        <f t="shared" si="108"/>
        <v>670.17658399410118</v>
      </c>
      <c r="R142" s="59">
        <f t="shared" si="109"/>
        <v>963.50991732743455</v>
      </c>
      <c r="S142" s="59">
        <f ca="1">AVERAGE(OFFSET($R$3,0,0,'Données projet'!$E$9+1,1))-AVERAGE(OFFSET($H$3,0,0,'Données projet'!$E$9+1,1))</f>
        <v>233.2883475283553</v>
      </c>
      <c r="T142" s="59">
        <f t="shared" si="142"/>
        <v>211.4485324078031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45.102689642080179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45.102689642080179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-2.8421709430404007E-14</v>
      </c>
      <c r="AJ142" s="13">
        <f>AI142*VLOOKUP('Données projet'!$B$10,Paramètres!$A$1:$I$89,3,0)*VLOOKUP('Données projet'!$B$10,Paramètres!$A$1:$I$89,5,0)</f>
        <v>-2.3942448024172337E-14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206.25389915739601</v>
      </c>
      <c r="AO142" s="59">
        <f t="shared" si="144"/>
        <v>155.24154927193064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100.74868131528912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100.74868131528912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117.93599999999979</v>
      </c>
      <c r="D143" s="11">
        <f t="shared" si="140"/>
        <v>31.193120181260444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1151.1721557851668</v>
      </c>
      <c r="H143" s="67">
        <f t="shared" si="110"/>
        <v>553.0665509823616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6.5958333333333314</v>
      </c>
      <c r="N143" s="13">
        <f>IF('Données projet'!$A$36&gt;35,N142+M143-V142,IF(A143&lt;'Données projet'!$A$36,$K$205^A143,IF(A143='Données projet'!$A$36,'Données projet'!$B$36,N142+M143-V142)))</f>
        <v>350.6041666666664</v>
      </c>
      <c r="O143" s="13">
        <f>N143*VLOOKUP('Données projet'!$B$9,Paramètres!$A$1:$I$89,3,0)*VLOOKUP('Données projet'!$B$9,Paramètres!$A$1:$I$89,5,0)</f>
        <v>317.22664999999972</v>
      </c>
      <c r="P143" s="13">
        <f t="shared" si="141"/>
        <v>74.77601225123567</v>
      </c>
      <c r="Q143" s="20">
        <f t="shared" si="108"/>
        <v>682.73797008756821</v>
      </c>
      <c r="R143" s="59">
        <f t="shared" si="109"/>
        <v>976.07130342090159</v>
      </c>
      <c r="S143" s="59">
        <f ca="1">AVERAGE(OFFSET($R$3,0,0,'Données projet'!$E$9+1,1))-AVERAGE(OFFSET($H$3,0,0,'Données projet'!$E$9+1,1))</f>
        <v>233.2883475283553</v>
      </c>
      <c r="T143" s="59">
        <f t="shared" si="142"/>
        <v>211.4485324078031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44.218253408123289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44.218253408123289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-2.8421709430404007E-14</v>
      </c>
      <c r="AJ143" s="13">
        <f>AI143*VLOOKUP('Données projet'!$B$10,Paramètres!$A$1:$I$89,3,0)*VLOOKUP('Données projet'!$B$10,Paramètres!$A$1:$I$89,5,0)</f>
        <v>-2.3942448024172337E-14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206.25389915739601</v>
      </c>
      <c r="AO143" s="59">
        <f t="shared" si="144"/>
        <v>155.24154927193064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98.773061125324162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98.773061125324162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118.77839999999979</v>
      </c>
      <c r="D144" s="11">
        <f t="shared" si="140"/>
        <v>31.389911704951476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1159.1939850908518</v>
      </c>
      <c r="H144" s="67">
        <f t="shared" si="110"/>
        <v>554.87647621945678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>
        <f>VLOOKUP(A144,'Données projet'!$A$35:$I$55,2,0)</f>
        <v>357.2</v>
      </c>
      <c r="L144" s="12">
        <f>VLOOKUP(A144,'Données projet'!$A$35:$I$55,9,0)</f>
        <v>6.5958333333333314</v>
      </c>
      <c r="M144" s="12">
        <f t="array" ref="M144">INDEX(L:L,MIN(IF(ISNUMBER(L144:L340),ROW(L144:L340),"")))</f>
        <v>6.5958333333333314</v>
      </c>
      <c r="N144" s="13">
        <f>IF('Données projet'!$A$36&gt;35,N143+M144-V143,IF(A144&lt;'Données projet'!$A$36,$K$205^A144,IF(A144='Données projet'!$A$36,'Données projet'!$B$36,N143+M144-V143)))</f>
        <v>357.1999999999997</v>
      </c>
      <c r="O144" s="13">
        <f>N144*VLOOKUP('Données projet'!$B$9,Paramètres!$A$1:$I$89,3,0)*VLOOKUP('Données projet'!$B$9,Paramètres!$A$1:$I$89,5,0)</f>
        <v>323.19455999999974</v>
      </c>
      <c r="P144" s="13">
        <f t="shared" si="141"/>
        <v>76.017659233042536</v>
      </c>
      <c r="Q144" s="20">
        <f t="shared" si="108"/>
        <v>695.29461516421532</v>
      </c>
      <c r="R144" s="59">
        <f t="shared" si="109"/>
        <v>988.62794849754869</v>
      </c>
      <c r="S144" s="59">
        <f ca="1">AVERAGE(OFFSET($R$3,0,0,'Données projet'!$E$9+1,1))-AVERAGE(OFFSET($H$3,0,0,'Données projet'!$E$9+1,1))</f>
        <v>233.2883475283553</v>
      </c>
      <c r="T144" s="59">
        <f t="shared" si="142"/>
        <v>211.4485324078031</v>
      </c>
      <c r="U144" s="15">
        <f>IF(ISNA(VLOOKUP(A144,'Données projet'!$A$35:$I$55,3,0)),0,VLOOKUP(A144,'Données projet'!$A$35:$I$55,3,0))</f>
        <v>12</v>
      </c>
      <c r="V144" s="15">
        <f>IF(ISNA(VLOOKUP(A144,'Données projet'!$A$35:$I$55,4,0)),0,VLOOKUP(A144,'Données projet'!$A$35:$I$55,4,0))</f>
        <v>56.79</v>
      </c>
      <c r="W144" s="16">
        <f>IF(ISNA(VLOOKUP(A144,'Données projet'!$A$35:$I$55,5,0)),0%,VLOOKUP(A144,'Données projet'!$A$35:$I$55,5,0)*VLOOKUP('Données projet'!$B$9,Paramètres!$A$1:$I$89,7,0))</f>
        <v>0.25800000000000001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58.006344478363069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58.006344478363069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-2.8421709430404007E-14</v>
      </c>
      <c r="AJ144" s="13">
        <f>AI144*VLOOKUP('Données projet'!$B$10,Paramètres!$A$1:$I$89,3,0)*VLOOKUP('Données projet'!$B$10,Paramètres!$A$1:$I$89,5,0)</f>
        <v>-2.3942448024172337E-14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206.25389915739601</v>
      </c>
      <c r="AO144" s="59">
        <f t="shared" si="144"/>
        <v>155.24154927193064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96.836181642275079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96.836181642275079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119.62079999999979</v>
      </c>
      <c r="D145" s="11">
        <f t="shared" si="140"/>
        <v>31.586540836557642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1167.2145608436012</v>
      </c>
      <c r="H145" s="67">
        <f t="shared" si="110"/>
        <v>556.68611862367084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6.5916666666666686</v>
      </c>
      <c r="N145" s="13">
        <f>IF('Données projet'!$A$36&gt;35,N144+M145-V144,IF(A145&lt;'Données projet'!$A$36,$K$205^A145,IF(A145='Données projet'!$A$36,'Données projet'!$B$36,N144+M145-V144)))</f>
        <v>307.00166666666638</v>
      </c>
      <c r="O145" s="13">
        <f>N145*VLOOKUP('Données projet'!$B$9,Paramètres!$A$1:$I$89,3,0)*VLOOKUP('Données projet'!$B$9,Paramètres!$A$1:$I$89,5,0)</f>
        <v>277.77510799999976</v>
      </c>
      <c r="P145" s="13">
        <f t="shared" si="141"/>
        <v>66.496607156764483</v>
      </c>
      <c r="Q145" s="20">
        <f t="shared" si="108"/>
        <v>599.60657056469756</v>
      </c>
      <c r="R145" s="59">
        <f t="shared" si="109"/>
        <v>892.93990389803093</v>
      </c>
      <c r="S145" s="59">
        <f ca="1">AVERAGE(OFFSET($R$3,0,0,'Données projet'!$E$9+1,1))-AVERAGE(OFFSET($H$3,0,0,'Données projet'!$E$9+1,1))</f>
        <v>233.2883475283553</v>
      </c>
      <c r="T145" s="59">
        <f t="shared" si="142"/>
        <v>211.4485324078031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56.868875443518981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56.868875443518981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-2.8421709430404007E-14</v>
      </c>
      <c r="AJ145" s="13">
        <f>AI145*VLOOKUP('Données projet'!$B$10,Paramètres!$A$1:$I$89,3,0)*VLOOKUP('Données projet'!$B$10,Paramètres!$A$1:$I$89,5,0)</f>
        <v>-2.3942448024172337E-14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206.25389915739601</v>
      </c>
      <c r="AO145" s="59">
        <f t="shared" si="144"/>
        <v>155.24154927193064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94.937283184508757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94.937283184508757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120.46319999999979</v>
      </c>
      <c r="D146" s="11">
        <f t="shared" si="140"/>
        <v>31.783008852298966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1175.2338928949378</v>
      </c>
      <c r="H146" s="67">
        <f t="shared" si="110"/>
        <v>558.4954804177537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6.5916666666666686</v>
      </c>
      <c r="N146" s="13">
        <f>IF('Données projet'!$A$36&gt;35,N145+M146-V145,IF(A146&lt;'Données projet'!$A$36,$K$205^A146,IF(A146='Données projet'!$A$36,'Données projet'!$B$36,N145+M146-V145)))</f>
        <v>313.59333333333302</v>
      </c>
      <c r="O146" s="13">
        <f>N146*VLOOKUP('Données projet'!$B$9,Paramètres!$A$1:$I$89,3,0)*VLOOKUP('Données projet'!$B$9,Paramètres!$A$1:$I$89,5,0)</f>
        <v>283.73924799999975</v>
      </c>
      <c r="P146" s="13">
        <f t="shared" si="141"/>
        <v>67.756608330094863</v>
      </c>
      <c r="Q146" s="20">
        <f t="shared" si="108"/>
        <v>612.18861644158153</v>
      </c>
      <c r="R146" s="59">
        <f t="shared" si="109"/>
        <v>905.5219497749149</v>
      </c>
      <c r="S146" s="59">
        <f ca="1">AVERAGE(OFFSET($R$3,0,0,'Données projet'!$E$9+1,1))-AVERAGE(OFFSET($H$3,0,0,'Données projet'!$E$9+1,1))</f>
        <v>233.2883475283553</v>
      </c>
      <c r="T146" s="59">
        <f t="shared" si="142"/>
        <v>211.4485324078031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55.753711482660577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55.753711482660577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-2.8421709430404007E-14</v>
      </c>
      <c r="AJ146" s="13">
        <f>AI146*VLOOKUP('Données projet'!$B$10,Paramètres!$A$1:$I$89,3,0)*VLOOKUP('Données projet'!$B$10,Paramètres!$A$1:$I$89,5,0)</f>
        <v>-2.3942448024172337E-14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206.25389915739601</v>
      </c>
      <c r="AO146" s="59">
        <f t="shared" si="144"/>
        <v>155.24154927193064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93.075620967285545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93.075620967285545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121.30559999999979</v>
      </c>
      <c r="D147" s="11">
        <f t="shared" si="140"/>
        <v>31.979317009514684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1183.2519909506379</v>
      </c>
      <c r="H147" s="67">
        <f t="shared" si="110"/>
        <v>560.3045637915709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6.5916666666666686</v>
      </c>
      <c r="N147" s="13">
        <f>IF('Données projet'!$A$36&gt;35,N146+M147-V146,IF(A147&lt;'Données projet'!$A$36,$K$205^A147,IF(A147='Données projet'!$A$36,'Données projet'!$B$36,N146+M147-V146)))</f>
        <v>320.18499999999972</v>
      </c>
      <c r="O147" s="13">
        <f>N147*VLOOKUP('Données projet'!$B$9,Paramètres!$A$1:$I$89,3,0)*VLOOKUP('Données projet'!$B$9,Paramètres!$A$1:$I$89,5,0)</f>
        <v>289.70338799999973</v>
      </c>
      <c r="P147" s="13">
        <f t="shared" si="141"/>
        <v>69.01353018241727</v>
      </c>
      <c r="Q147" s="20">
        <f t="shared" si="108"/>
        <v>624.76529916770949</v>
      </c>
      <c r="R147" s="59">
        <f t="shared" si="109"/>
        <v>918.09863250104286</v>
      </c>
      <c r="S147" s="59">
        <f ca="1">AVERAGE(OFFSET($R$3,0,0,'Données projet'!$E$9+1,1))-AVERAGE(OFFSET($H$3,0,0,'Données projet'!$E$9+1,1))</f>
        <v>233.2883475283553</v>
      </c>
      <c r="T147" s="59">
        <f t="shared" si="142"/>
        <v>211.4485324078031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54.660415206891756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54.660415206891756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-2.8421709430404007E-14</v>
      </c>
      <c r="AJ147" s="13">
        <f>AI147*VLOOKUP('Données projet'!$B$10,Paramètres!$A$1:$I$89,3,0)*VLOOKUP('Données projet'!$B$10,Paramètres!$A$1:$I$89,5,0)</f>
        <v>-2.3942448024172337E-14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206.25389915739601</v>
      </c>
      <c r="AO147" s="59">
        <f t="shared" si="144"/>
        <v>155.24154927193064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91.250464810640239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91.250464810640239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122.14799999999978</v>
      </c>
      <c r="D148" s="11">
        <f t="shared" si="140"/>
        <v>32.175466547071558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1191.2688645738842</v>
      </c>
      <c r="H148" s="67">
        <f t="shared" si="110"/>
        <v>562.11337090281586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6.5916666666666686</v>
      </c>
      <c r="N148" s="13">
        <f>IF('Données projet'!$A$36&gt;35,N147+M148-V147,IF(A148&lt;'Données projet'!$A$36,$K$205^A148,IF(A148='Données projet'!$A$36,'Données projet'!$B$36,N147+M148-V147)))</f>
        <v>326.77666666666642</v>
      </c>
      <c r="O148" s="13">
        <f>N148*VLOOKUP('Données projet'!$B$9,Paramètres!$A$1:$I$89,3,0)*VLOOKUP('Données projet'!$B$9,Paramètres!$A$1:$I$89,5,0)</f>
        <v>295.66752799999978</v>
      </c>
      <c r="P148" s="13">
        <f t="shared" si="141"/>
        <v>70.267443412318315</v>
      </c>
      <c r="Q148" s="20">
        <f t="shared" si="108"/>
        <v>637.33674187645386</v>
      </c>
      <c r="R148" s="59">
        <f t="shared" si="109"/>
        <v>930.67007520978723</v>
      </c>
      <c r="S148" s="59">
        <f ca="1">AVERAGE(OFFSET($R$3,0,0,'Données projet'!$E$9+1,1))-AVERAGE(OFFSET($H$3,0,0,'Données projet'!$E$9+1,1))</f>
        <v>233.2883475283553</v>
      </c>
      <c r="T148" s="59">
        <f t="shared" si="142"/>
        <v>211.4485324078031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53.588557804245873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53.588557804245873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-2.8421709430404007E-14</v>
      </c>
      <c r="AJ148" s="13">
        <f>AI148*VLOOKUP('Données projet'!$B$10,Paramètres!$A$1:$I$89,3,0)*VLOOKUP('Données projet'!$B$10,Paramètres!$A$1:$I$89,5,0)</f>
        <v>-2.3942448024172337E-14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206.25389915739601</v>
      </c>
      <c r="AO148" s="59">
        <f t="shared" si="144"/>
        <v>155.24154927193064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89.461098852991412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89.461098852991412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122.99039999999978</v>
      </c>
      <c r="D149" s="11">
        <f t="shared" si="140"/>
        <v>32.37145868576102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1199.2845231883291</v>
      </c>
      <c r="H149" s="67">
        <f t="shared" si="110"/>
        <v>563.92190387770006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6.5916666666666686</v>
      </c>
      <c r="N149" s="13">
        <f>IF('Données projet'!$A$36&gt;35,N148+M149-V148,IF(A149&lt;'Données projet'!$A$36,$K$205^A149,IF(A149='Données projet'!$A$36,'Données projet'!$B$36,N148+M149-V148)))</f>
        <v>333.36833333333311</v>
      </c>
      <c r="O149" s="13">
        <f>N149*VLOOKUP('Données projet'!$B$9,Paramètres!$A$1:$I$89,3,0)*VLOOKUP('Données projet'!$B$9,Paramètres!$A$1:$I$89,5,0)</f>
        <v>301.63166799999976</v>
      </c>
      <c r="P149" s="13">
        <f t="shared" si="141"/>
        <v>71.518415703079384</v>
      </c>
      <c r="Q149" s="20">
        <f t="shared" si="108"/>
        <v>649.90306244952944</v>
      </c>
      <c r="R149" s="59">
        <f t="shared" si="109"/>
        <v>943.2363957828627</v>
      </c>
      <c r="S149" s="59">
        <f ca="1">AVERAGE(OFFSET($R$3,0,0,'Données projet'!$E$9+1,1))-AVERAGE(OFFSET($H$3,0,0,'Données projet'!$E$9+1,1))</f>
        <v>233.2883475283553</v>
      </c>
      <c r="T149" s="59">
        <f t="shared" si="142"/>
        <v>211.4485324078031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52.537718871497418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52.537718871497418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-2.8421709430404007E-14</v>
      </c>
      <c r="AJ149" s="13">
        <f>AI149*VLOOKUP('Données projet'!$B$10,Paramètres!$A$1:$I$89,3,0)*VLOOKUP('Données projet'!$B$10,Paramètres!$A$1:$I$89,5,0)</f>
        <v>-2.3942448024172337E-14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206.25389915739601</v>
      </c>
      <c r="AO149" s="59">
        <f t="shared" si="144"/>
        <v>155.24154927193064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87.706821270366618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87.706821270366618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123.83279999999978</v>
      </c>
      <c r="D150" s="11">
        <f t="shared" si="140"/>
        <v>32.567294628684522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1207.2989760810722</v>
      </c>
      <c r="H150" s="67">
        <f t="shared" si="110"/>
        <v>565.73016481162517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6.5916666666666686</v>
      </c>
      <c r="N150" s="13">
        <f>IF('Données projet'!$A$36&gt;35,N149+M150-V149,IF(A150&lt;'Données projet'!$A$36,$K$205^A150,IF(A150='Données projet'!$A$36,'Données projet'!$B$36,N149+M150-V149)))</f>
        <v>339.95999999999981</v>
      </c>
      <c r="O150" s="13">
        <f>N150*VLOOKUP('Données projet'!$B$9,Paramètres!$A$1:$I$89,3,0)*VLOOKUP('Données projet'!$B$9,Paramètres!$A$1:$I$89,5,0)</f>
        <v>307.59580799999981</v>
      </c>
      <c r="P150" s="13">
        <f t="shared" si="141"/>
        <v>72.766511908315039</v>
      </c>
      <c r="Q150" s="20">
        <f t="shared" si="108"/>
        <v>662.46437384031492</v>
      </c>
      <c r="R150" s="59">
        <f t="shared" si="109"/>
        <v>955.79770717364818</v>
      </c>
      <c r="S150" s="59">
        <f ca="1">AVERAGE(OFFSET($R$3,0,0,'Données projet'!$E$9+1,1))-AVERAGE(OFFSET($H$3,0,0,'Données projet'!$E$9+1,1))</f>
        <v>233.2883475283553</v>
      </c>
      <c r="T150" s="59">
        <f t="shared" si="142"/>
        <v>211.4485324078031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51.5074862492717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51.5074862492717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-2.8421709430404007E-14</v>
      </c>
      <c r="AJ150" s="13">
        <f>AI150*VLOOKUP('Données projet'!$B$10,Paramètres!$A$1:$I$89,3,0)*VLOOKUP('Données projet'!$B$10,Paramètres!$A$1:$I$89,5,0)</f>
        <v>-2.3942448024172337E-14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206.25389915739601</v>
      </c>
      <c r="AO150" s="59">
        <f t="shared" si="144"/>
        <v>155.24154927193064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85.986944001133423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85.986944001133423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124.67519999999978</v>
      </c>
      <c r="D151" s="11">
        <f t="shared" si="140"/>
        <v>32.762975561628686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1215.3122324055532</v>
      </c>
      <c r="H151" s="67">
        <f t="shared" si="110"/>
        <v>567.53815576983618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6.5916666666666686</v>
      </c>
      <c r="N151" s="13">
        <f>IF('Données projet'!$A$36&gt;35,N150+M151-V150,IF(A151&lt;'Données projet'!$A$36,$K$205^A151,IF(A151='Données projet'!$A$36,'Données projet'!$B$36,N150+M151-V150)))</f>
        <v>346.55166666666651</v>
      </c>
      <c r="O151" s="13">
        <f>N151*VLOOKUP('Données projet'!$B$9,Paramètres!$A$1:$I$89,3,0)*VLOOKUP('Données projet'!$B$9,Paramètres!$A$1:$I$89,5,0)</f>
        <v>313.55994799999985</v>
      </c>
      <c r="P151" s="13">
        <f t="shared" si="141"/>
        <v>74.011794222808078</v>
      </c>
      <c r="Q151" s="20">
        <f t="shared" si="108"/>
        <v>675.0207843713905</v>
      </c>
      <c r="R151" s="59">
        <f t="shared" si="109"/>
        <v>968.35411770472388</v>
      </c>
      <c r="S151" s="59">
        <f ca="1">AVERAGE(OFFSET($R$3,0,0,'Données projet'!$E$9+1,1))-AVERAGE(OFFSET($H$3,0,0,'Données projet'!$E$9+1,1))</f>
        <v>233.2883475283553</v>
      </c>
      <c r="T151" s="59">
        <f t="shared" si="142"/>
        <v>211.4485324078031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50.497455860387973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50.497455860387973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-2.8421709430404007E-14</v>
      </c>
      <c r="AJ151" s="13">
        <f>AI151*VLOOKUP('Données projet'!$B$10,Paramètres!$A$1:$I$89,3,0)*VLOOKUP('Données projet'!$B$10,Paramètres!$A$1:$I$89,5,0)</f>
        <v>-2.3942448024172337E-14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206.25389915739601</v>
      </c>
      <c r="AO151" s="59">
        <f t="shared" si="144"/>
        <v>155.24154927193064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84.300792476128336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84.300792476128336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125.51759999999977</v>
      </c>
      <c r="D152" s="11">
        <f t="shared" si="140"/>
        <v>32.958502653429633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1223.3243011843672</v>
      </c>
      <c r="H152" s="67">
        <f t="shared" si="110"/>
        <v>569.3458787880561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6.5916666666666686</v>
      </c>
      <c r="N152" s="13">
        <f>IF('Données projet'!$A$36&gt;35,N151+M152-V151,IF(A152&lt;'Données projet'!$A$36,$K$205^A152,IF(A152='Données projet'!$A$36,'Données projet'!$B$36,N151+M152-V151)))</f>
        <v>353.1433333333332</v>
      </c>
      <c r="O152" s="13">
        <f>N152*VLOOKUP('Données projet'!$B$9,Paramètres!$A$1:$I$89,3,0)*VLOOKUP('Données projet'!$B$9,Paramètres!$A$1:$I$89,5,0)</f>
        <v>319.52408799999984</v>
      </c>
      <c r="P152" s="13">
        <f t="shared" si="141"/>
        <v>75.254322339977705</v>
      </c>
      <c r="Q152" s="20">
        <f t="shared" si="108"/>
        <v>687.57239800879415</v>
      </c>
      <c r="R152" s="59">
        <f t="shared" si="109"/>
        <v>980.90573134212741</v>
      </c>
      <c r="S152" s="59">
        <f ca="1">AVERAGE(OFFSET($R$3,0,0,'Données projet'!$E$9+1,1))-AVERAGE(OFFSET($H$3,0,0,'Données projet'!$E$9+1,1))</f>
        <v>233.2883475283553</v>
      </c>
      <c r="T152" s="59">
        <f t="shared" si="142"/>
        <v>211.4485324078031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49.507231551372548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49.507231551372548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-2.8421709430404007E-14</v>
      </c>
      <c r="AJ152" s="13">
        <f>AI152*VLOOKUP('Données projet'!$B$10,Paramètres!$A$1:$I$89,3,0)*VLOOKUP('Données projet'!$B$10,Paramètres!$A$1:$I$89,5,0)</f>
        <v>-2.3942448024172337E-14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206.25389915739601</v>
      </c>
      <c r="AO152" s="59">
        <f t="shared" si="144"/>
        <v>155.24154927193064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82.647705354077729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82.647705354077729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126.35999999999977</v>
      </c>
      <c r="D153" s="11">
        <f t="shared" si="140"/>
        <v>33.153877056327396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1231.3351913119993</v>
      </c>
      <c r="H153" s="67">
        <f t="shared" si="110"/>
        <v>571.15333587310306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6.5916666666666686</v>
      </c>
      <c r="N153" s="13">
        <f>IF('Données projet'!$A$36&gt;35,N152+M153-V152,IF(A153&lt;'Données projet'!$A$36,$K$205^A153,IF(A153='Données projet'!$A$36,'Données projet'!$B$36,N152+M153-V152)))</f>
        <v>359.7349999999999</v>
      </c>
      <c r="O153" s="13">
        <f>N153*VLOOKUP('Données projet'!$B$9,Paramètres!$A$1:$I$89,3,0)*VLOOKUP('Données projet'!$B$9,Paramètres!$A$1:$I$89,5,0)</f>
        <v>325.48822799999994</v>
      </c>
      <c r="P153" s="13">
        <f t="shared" si="141"/>
        <v>76.494153597259768</v>
      </c>
      <c r="Q153" s="20">
        <f t="shared" si="108"/>
        <v>700.11931461522727</v>
      </c>
      <c r="R153" s="59">
        <f t="shared" si="109"/>
        <v>993.45264794856053</v>
      </c>
      <c r="S153" s="59">
        <f ca="1">AVERAGE(OFFSET($R$3,0,0,'Données projet'!$E$9+1,1))-AVERAGE(OFFSET($H$3,0,0,'Données projet'!$E$9+1,1))</f>
        <v>233.2883475283553</v>
      </c>
      <c r="T153" s="59">
        <f t="shared" si="142"/>
        <v>211.4485324078031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48.53642493707973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48.53642493707973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-2.8421709430404007E-14</v>
      </c>
      <c r="AJ153" s="13">
        <f>AI153*VLOOKUP('Données projet'!$B$10,Paramètres!$A$1:$I$89,3,0)*VLOOKUP('Données projet'!$B$10,Paramètres!$A$1:$I$89,5,0)</f>
        <v>-2.3942448024172337E-14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206.25389915739601</v>
      </c>
      <c r="AO153" s="59">
        <f t="shared" si="144"/>
        <v>155.24154927193064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81.027034262206939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81.027034262206939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127.20239999999977</v>
      </c>
      <c r="D154" s="11">
        <f t="shared" si="140"/>
        <v>33.349099906310734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1239.3449115574847</v>
      </c>
      <c r="H154" s="67">
        <f t="shared" si="110"/>
        <v>572.96052900349082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6.5916666666666686</v>
      </c>
      <c r="N154" s="13">
        <f>IF('Données projet'!$A$36&gt;35,N153+M154-V153,IF(A154&lt;'Données projet'!$A$36,$K$205^A154,IF(A154='Données projet'!$A$36,'Données projet'!$B$36,N153+M154-V153)))</f>
        <v>366.3266666666666</v>
      </c>
      <c r="O154" s="13">
        <f>N154*VLOOKUP('Données projet'!$B$9,Paramètres!$A$1:$I$89,3,0)*VLOOKUP('Données projet'!$B$9,Paramètres!$A$1:$I$89,5,0)</f>
        <v>331.45236799999992</v>
      </c>
      <c r="P154" s="13">
        <f t="shared" si="141"/>
        <v>77.731343110528812</v>
      </c>
      <c r="Q154" s="20">
        <f t="shared" ref="Q154:Q203" si="162">(O154+P154)*0.475*44/12</f>
        <v>712.66163018417092</v>
      </c>
      <c r="R154" s="59">
        <f t="shared" si="109"/>
        <v>1005.9949635175042</v>
      </c>
      <c r="S154" s="59">
        <f ca="1">AVERAGE(OFFSET($R$3,0,0,'Données projet'!$E$9+1,1))-AVERAGE(OFFSET($H$3,0,0,'Données projet'!$E$9+1,1))</f>
        <v>233.2883475283553</v>
      </c>
      <c r="T154" s="59">
        <f t="shared" si="142"/>
        <v>211.4485324078031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47.584655248359624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47.584655248359624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-2.8421709430404007E-14</v>
      </c>
      <c r="AJ154" s="13">
        <f>AI154*VLOOKUP('Données projet'!$B$10,Paramètres!$A$1:$I$89,3,0)*VLOOKUP('Données projet'!$B$10,Paramètres!$A$1:$I$89,5,0)</f>
        <v>-2.3942448024172337E-14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206.25389915739601</v>
      </c>
      <c r="AO154" s="59">
        <f t="shared" si="144"/>
        <v>155.24154927193064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79.438143541935986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79.438143541935986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128.04479999999978</v>
      </c>
      <c r="D155" s="11">
        <f t="shared" si="140"/>
        <v>33.544172323452152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1247.3534705669974</v>
      </c>
      <c r="H155" s="67">
        <f t="shared" si="110"/>
        <v>574.76746013001207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6.5916666666666686</v>
      </c>
      <c r="N155" s="13">
        <f>IF('Données projet'!$A$36&gt;35,N154+M155-V154,IF(A155&lt;'Données projet'!$A$36,$K$205^A155,IF(A155='Données projet'!$A$36,'Données projet'!$B$36,N154+M155-V154)))</f>
        <v>372.91833333333329</v>
      </c>
      <c r="O155" s="13">
        <f>N155*VLOOKUP('Données projet'!$B$9,Paramètres!$A$1:$I$89,3,0)*VLOOKUP('Données projet'!$B$9,Paramètres!$A$1:$I$89,5,0)</f>
        <v>337.41650799999996</v>
      </c>
      <c r="P155" s="13">
        <f t="shared" si="141"/>
        <v>78.965943898571624</v>
      </c>
      <c r="Q155" s="20">
        <f t="shared" si="162"/>
        <v>725.1994370566789</v>
      </c>
      <c r="R155" s="59">
        <f t="shared" si="109"/>
        <v>1018.5327703900123</v>
      </c>
      <c r="S155" s="59">
        <f ca="1">AVERAGE(OFFSET($R$3,0,0,'Données projet'!$E$9+1,1))-AVERAGE(OFFSET($H$3,0,0,'Données projet'!$E$9+1,1))</f>
        <v>233.2883475283553</v>
      </c>
      <c r="T155" s="59">
        <f t="shared" si="142"/>
        <v>211.4485324078031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46.651549182713133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46.651549182713133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-2.8421709430404007E-14</v>
      </c>
      <c r="AJ155" s="13">
        <f>AI155*VLOOKUP('Données projet'!$B$10,Paramètres!$A$1:$I$89,3,0)*VLOOKUP('Données projet'!$B$10,Paramètres!$A$1:$I$89,5,0)</f>
        <v>-2.3942448024172337E-14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206.25389915739601</v>
      </c>
      <c r="AO155" s="59">
        <f t="shared" si="144"/>
        <v>155.24154927193064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77.880409999561891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77.880409999561891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128.88719999999978</v>
      </c>
      <c r="D156" s="11">
        <f t="shared" si="140"/>
        <v>33.739095412234299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1255.3608768663685</v>
      </c>
      <c r="H156" s="67">
        <f t="shared" si="110"/>
        <v>576.57413117630767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379.51</v>
      </c>
      <c r="L156" s="12">
        <f>VLOOKUP(A156,'Données projet'!$A$35:$I$55,9,0)</f>
        <v>6.5916666666666686</v>
      </c>
      <c r="M156" s="12">
        <f t="array" ref="M156">INDEX(L:L,MIN(IF(ISNUMBER(L156:L352),ROW(L156:L352),"")))</f>
        <v>6.5916666666666686</v>
      </c>
      <c r="N156" s="13">
        <f>IF('Données projet'!$A$36&gt;35,N155+M156-V155,IF(A156&lt;'Données projet'!$A$36,$K$205^A156,IF(A156='Données projet'!$A$36,'Données projet'!$B$36,N155+M156-V155)))</f>
        <v>379.51</v>
      </c>
      <c r="O156" s="13">
        <f>N156*VLOOKUP('Données projet'!$B$9,Paramètres!$A$1:$I$89,3,0)*VLOOKUP('Données projet'!$B$9,Paramètres!$A$1:$I$89,5,0)</f>
        <v>343.38064799999995</v>
      </c>
      <c r="P156" s="13">
        <f t="shared" si="141"/>
        <v>80.19800699851109</v>
      </c>
      <c r="Q156" s="20">
        <f t="shared" si="162"/>
        <v>737.73282412240678</v>
      </c>
      <c r="R156" s="59">
        <f t="shared" si="109"/>
        <v>1031.06615745574</v>
      </c>
      <c r="S156" s="59">
        <f ca="1">AVERAGE(OFFSET($R$3,0,0,'Données projet'!$E$9+1,1))-AVERAGE(OFFSET($H$3,0,0,'Données projet'!$E$9+1,1))</f>
        <v>233.2883475283553</v>
      </c>
      <c r="T156" s="59">
        <f t="shared" si="142"/>
        <v>211.4485324078031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186.83</v>
      </c>
      <c r="W156" s="16">
        <f>IF(ISNA(VLOOKUP(A156,'Données projet'!$A$35:$I$55,5,0)),0%,VLOOKUP(A156,'Données projet'!$A$35:$I$55,5,0)*VLOOKUP('Données projet'!$B$9,Paramètres!$A$1:$I$89,7,0))</f>
        <v>0.25800000000000001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93.949947940366314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93.949947940366314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-2.8421709430404007E-14</v>
      </c>
      <c r="AJ156" s="13">
        <f>AI156*VLOOKUP('Données projet'!$B$10,Paramètres!$A$1:$I$89,3,0)*VLOOKUP('Données projet'!$B$10,Paramètres!$A$1:$I$89,5,0)</f>
        <v>-2.3942448024172337E-14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206.25389915739601</v>
      </c>
      <c r="AO156" s="59">
        <f t="shared" si="144"/>
        <v>155.24154927193064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76.353222661830117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76.353222661830117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129.72959999999978</v>
      </c>
      <c r="D157" s="11">
        <f t="shared" si="140"/>
        <v>33.933870261867426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1263.3671388635362</v>
      </c>
      <c r="H157" s="67">
        <f t="shared" si="110"/>
        <v>578.38054403941862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3.0450000000000088</v>
      </c>
      <c r="N157" s="13">
        <f>IF('Données projet'!$A$36&gt;35,N156+M157-V156,IF(A157&lt;'Données projet'!$A$36,$K$205^A157,IF(A157='Données projet'!$A$36,'Données projet'!$B$36,N156+M157-V156)))</f>
        <v>195.72499999999999</v>
      </c>
      <c r="O157" s="13">
        <f>N157*VLOOKUP('Données projet'!$B$9,Paramètres!$A$1:$I$89,3,0)*VLOOKUP('Données projet'!$B$9,Paramètres!$A$1:$I$89,5,0)</f>
        <v>177.09197999999998</v>
      </c>
      <c r="P157" s="13">
        <f t="shared" si="141"/>
        <v>44.674593274647954</v>
      </c>
      <c r="Q157" s="20">
        <f t="shared" si="162"/>
        <v>386.24344845334514</v>
      </c>
      <c r="R157" s="59">
        <f t="shared" si="109"/>
        <v>679.57678178667845</v>
      </c>
      <c r="S157" s="59">
        <f ca="1">AVERAGE(OFFSET($R$3,0,0,'Données projet'!$E$9+1,1))-AVERAGE(OFFSET($H$3,0,0,'Données projet'!$E$9+1,1))</f>
        <v>233.2883475283553</v>
      </c>
      <c r="T157" s="59">
        <f t="shared" si="142"/>
        <v>211.4485324078031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92.107646765065695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92.107646765065695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-2.8421709430404007E-14</v>
      </c>
      <c r="AJ157" s="13">
        <f>AI157*VLOOKUP('Données projet'!$B$10,Paramètres!$A$1:$I$89,3,0)*VLOOKUP('Données projet'!$B$10,Paramètres!$A$1:$I$89,5,0)</f>
        <v>-2.3942448024172337E-14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206.25389915739601</v>
      </c>
      <c r="AO157" s="59">
        <f t="shared" si="144"/>
        <v>155.24154927193064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74.855982536298967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74.855982536298967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130.57199999999978</v>
      </c>
      <c r="D158" s="11">
        <f t="shared" si="140"/>
        <v>34.128497946598245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1271.3722648509322</v>
      </c>
      <c r="H158" s="67">
        <f t="shared" si="110"/>
        <v>580.1867005903249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3.0450000000000088</v>
      </c>
      <c r="N158" s="13">
        <f>IF('Données projet'!$A$36&gt;35,N157+M158-V157,IF(A158&lt;'Données projet'!$A$36,$K$205^A158,IF(A158='Données projet'!$A$36,'Données projet'!$B$36,N157+M158-V157)))</f>
        <v>198.77</v>
      </c>
      <c r="O158" s="13">
        <f>N158*VLOOKUP('Données projet'!$B$9,Paramètres!$A$1:$I$89,3,0)*VLOOKUP('Données projet'!$B$9,Paramètres!$A$1:$I$89,5,0)</f>
        <v>179.84709599999999</v>
      </c>
      <c r="P158" s="13">
        <f t="shared" si="141"/>
        <v>45.288166161290668</v>
      </c>
      <c r="Q158" s="20">
        <f t="shared" si="162"/>
        <v>392.11058159758119</v>
      </c>
      <c r="R158" s="59">
        <f t="shared" si="109"/>
        <v>685.4439149309145</v>
      </c>
      <c r="S158" s="59">
        <f ca="1">AVERAGE(OFFSET($R$3,0,0,'Données projet'!$E$9+1,1))-AVERAGE(OFFSET($H$3,0,0,'Données projet'!$E$9+1,1))</f>
        <v>233.2883475283553</v>
      </c>
      <c r="T158" s="59">
        <f t="shared" si="142"/>
        <v>211.4485324078031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90.301471992119957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90.301471992119957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-2.8421709430404007E-14</v>
      </c>
      <c r="AJ158" s="13">
        <f>AI158*VLOOKUP('Données projet'!$B$10,Paramètres!$A$1:$I$89,3,0)*VLOOKUP('Données projet'!$B$10,Paramètres!$A$1:$I$89,5,0)</f>
        <v>-2.3942448024172337E-14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206.25389915739601</v>
      </c>
      <c r="AO158" s="59">
        <f t="shared" si="144"/>
        <v>155.24154927193064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73.388102376403168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73.388102376403168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131.41439999999977</v>
      </c>
      <c r="D159" s="11">
        <f t="shared" si="140"/>
        <v>34.322979526010606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1279.3762630077995</v>
      </c>
      <c r="H159" s="67">
        <f t="shared" si="110"/>
        <v>581.99260267446812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3.0450000000000088</v>
      </c>
      <c r="N159" s="13">
        <f>IF('Données projet'!$A$36&gt;35,N158+M159-V158,IF(A159&lt;'Données projet'!$A$36,$K$205^A159,IF(A159='Données projet'!$A$36,'Données projet'!$B$36,N158+M159-V158)))</f>
        <v>201.81500000000003</v>
      </c>
      <c r="O159" s="13">
        <f>N159*VLOOKUP('Données projet'!$B$9,Paramètres!$A$1:$I$89,3,0)*VLOOKUP('Données projet'!$B$9,Paramètres!$A$1:$I$89,5,0)</f>
        <v>182.60221200000001</v>
      </c>
      <c r="P159" s="13">
        <f t="shared" si="141"/>
        <v>45.900645881191508</v>
      </c>
      <c r="Q159" s="20">
        <f t="shared" si="162"/>
        <v>397.97581080974192</v>
      </c>
      <c r="R159" s="59">
        <f t="shared" si="109"/>
        <v>691.30914414307517</v>
      </c>
      <c r="S159" s="59">
        <f ca="1">AVERAGE(OFFSET($R$3,0,0,'Données projet'!$E$9+1,1))-AVERAGE(OFFSET($H$3,0,0,'Données projet'!$E$9+1,1))</f>
        <v>233.2883475283553</v>
      </c>
      <c r="T159" s="59">
        <f t="shared" si="142"/>
        <v>211.4485324078031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88.530715204813859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88.530715204813859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-2.8421709430404007E-14</v>
      </c>
      <c r="AJ159" s="13">
        <f>AI159*VLOOKUP('Données projet'!$B$10,Paramètres!$A$1:$I$89,3,0)*VLOOKUP('Données projet'!$B$10,Paramètres!$A$1:$I$89,5,0)</f>
        <v>-2.3942448024172337E-14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206.25389915739601</v>
      </c>
      <c r="AO159" s="59">
        <f t="shared" si="144"/>
        <v>155.24154927193064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71.949006451124433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71.949006451124433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132.25679999999977</v>
      </c>
      <c r="D160" s="11">
        <f t="shared" si="140"/>
        <v>34.517316045318495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1287.379141402457</v>
      </c>
      <c r="H160" s="67">
        <f t="shared" si="110"/>
        <v>583.79825211226262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204.86</v>
      </c>
      <c r="L160" s="12">
        <f>VLOOKUP(A160,'Données projet'!$A$35:$I$55,9,0)</f>
        <v>3.0450000000000088</v>
      </c>
      <c r="M160" s="12">
        <f t="array" ref="M160">INDEX(L:L,MIN(IF(ISNUMBER(L160:L356),ROW(L160:L356),"")))</f>
        <v>3.0450000000000088</v>
      </c>
      <c r="N160" s="13">
        <f>IF('Données projet'!$A$36&gt;35,N159+M160-V159,IF(A160&lt;'Données projet'!$A$36,$K$205^A160,IF(A160='Données projet'!$A$36,'Données projet'!$B$36,N159+M160-V159)))</f>
        <v>204.86000000000004</v>
      </c>
      <c r="O160" s="13">
        <f>N160*VLOOKUP('Données projet'!$B$9,Paramètres!$A$1:$I$89,3,0)*VLOOKUP('Données projet'!$B$9,Paramètres!$A$1:$I$89,5,0)</f>
        <v>185.35732800000002</v>
      </c>
      <c r="P160" s="13">
        <f t="shared" si="141"/>
        <v>46.512050833255067</v>
      </c>
      <c r="Q160" s="20">
        <f t="shared" si="162"/>
        <v>403.83916813458592</v>
      </c>
      <c r="R160" s="59">
        <f t="shared" si="109"/>
        <v>697.17250146791923</v>
      </c>
      <c r="S160" s="59">
        <f ca="1">AVERAGE(OFFSET($R$3,0,0,'Données projet'!$E$9+1,1))-AVERAGE(OFFSET($H$3,0,0,'Données projet'!$E$9+1,1))</f>
        <v>233.2883475283553</v>
      </c>
      <c r="T160" s="59">
        <f t="shared" si="142"/>
        <v>211.4485324078031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70.989999999999995</v>
      </c>
      <c r="W160" s="16">
        <f>IF(ISNA(VLOOKUP(A160,'Données projet'!$A$35:$I$55,5,0)),0%,VLOOKUP(A160,'Données projet'!$A$35:$I$55,5,0)*VLOOKUP('Données projet'!$B$9,Paramètres!$A$1:$I$89,7,0))</f>
        <v>0.25800000000000001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105.11430708752047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105.11430708752047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-2.8421709430404007E-14</v>
      </c>
      <c r="AJ160" s="13">
        <f>AI160*VLOOKUP('Données projet'!$B$10,Paramètres!$A$1:$I$89,3,0)*VLOOKUP('Données projet'!$B$10,Paramètres!$A$1:$I$89,5,0)</f>
        <v>-2.3942448024172337E-14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206.25389915739601</v>
      </c>
      <c r="AO160" s="59">
        <f t="shared" si="144"/>
        <v>155.24154927193064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70.538130319178578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70.538130319178578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133.09919999999977</v>
      </c>
      <c r="D161" s="11">
        <f t="shared" si="140"/>
        <v>34.711508535651106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1295.3809079944979</v>
      </c>
      <c r="H161" s="67">
        <f t="shared" si="110"/>
        <v>585.60365069959187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1.9724999999999966</v>
      </c>
      <c r="N161" s="13">
        <f>IF('Données projet'!$A$36&gt;35,N160+M161-V160,IF(A161&lt;'Données projet'!$A$36,$K$205^A161,IF(A161='Données projet'!$A$36,'Données projet'!$B$36,N160+M161-V160)))</f>
        <v>135.84250000000003</v>
      </c>
      <c r="O161" s="13">
        <f>N161*VLOOKUP('Données projet'!$B$9,Paramètres!$A$1:$I$89,3,0)*VLOOKUP('Données projet'!$B$9,Paramètres!$A$1:$I$89,5,0)</f>
        <v>122.91029400000004</v>
      </c>
      <c r="P161" s="13">
        <f t="shared" si="141"/>
        <v>32.352828024252055</v>
      </c>
      <c r="Q161" s="20">
        <f t="shared" si="162"/>
        <v>270.41660419223905</v>
      </c>
      <c r="R161" s="59">
        <f t="shared" si="109"/>
        <v>563.74993752557236</v>
      </c>
      <c r="S161" s="59">
        <f ca="1">AVERAGE(OFFSET($R$3,0,0,'Données projet'!$E$9+1,1))-AVERAGE(OFFSET($H$3,0,0,'Données projet'!$E$9+1,1))</f>
        <v>233.2883475283553</v>
      </c>
      <c r="T161" s="59">
        <f t="shared" si="142"/>
        <v>211.4485324078031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103.05307963893085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103.05307963893085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-2.8421709430404007E-14</v>
      </c>
      <c r="AJ161" s="13">
        <f>AI161*VLOOKUP('Données projet'!$B$10,Paramètres!$A$1:$I$89,3,0)*VLOOKUP('Données projet'!$B$10,Paramètres!$A$1:$I$89,5,0)</f>
        <v>-2.3942448024172337E-14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206.25389915739601</v>
      </c>
      <c r="AO161" s="59">
        <f t="shared" si="144"/>
        <v>155.24154927193064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69.154920607630714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69.154920607630714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133.94159999999977</v>
      </c>
      <c r="D162" s="11">
        <f t="shared" si="140"/>
        <v>34.905558014330467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1303.3815706369351</v>
      </c>
      <c r="H162" s="67">
        <f t="shared" si="110"/>
        <v>587.40880020829172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1.9724999999999966</v>
      </c>
      <c r="N162" s="13">
        <f>IF('Données projet'!$A$36&gt;35,N161+M162-V161,IF(A162&lt;'Données projet'!$A$36,$K$205^A162,IF(A162='Données projet'!$A$36,'Données projet'!$B$36,N161+M162-V161)))</f>
        <v>137.81500000000003</v>
      </c>
      <c r="O162" s="13">
        <f>N162*VLOOKUP('Données projet'!$B$9,Paramètres!$A$1:$I$89,3,0)*VLOOKUP('Données projet'!$B$9,Paramètres!$A$1:$I$89,5,0)</f>
        <v>124.69501200000002</v>
      </c>
      <c r="P162" s="13">
        <f t="shared" si="141"/>
        <v>32.767575831123807</v>
      </c>
      <c r="Q162" s="20">
        <f t="shared" si="162"/>
        <v>274.2473404725406</v>
      </c>
      <c r="R162" s="59">
        <f t="shared" si="109"/>
        <v>567.58067380587386</v>
      </c>
      <c r="S162" s="59">
        <f ca="1">AVERAGE(OFFSET($R$3,0,0,'Données projet'!$E$9+1,1))-AVERAGE(OFFSET($H$3,0,0,'Données projet'!$E$9+1,1))</f>
        <v>233.2883475283553</v>
      </c>
      <c r="T162" s="59">
        <f t="shared" si="142"/>
        <v>211.4485324078031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101.03227160338346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101.03227160338346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-2.8421709430404007E-14</v>
      </c>
      <c r="AJ162" s="13">
        <f>AI162*VLOOKUP('Données projet'!$B$10,Paramètres!$A$1:$I$89,3,0)*VLOOKUP('Données projet'!$B$10,Paramètres!$A$1:$I$89,5,0)</f>
        <v>-2.3942448024172337E-14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206.25389915739601</v>
      </c>
      <c r="AO162" s="59">
        <f t="shared" si="144"/>
        <v>155.24154927193064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67.798834794851686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67.798834794851686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134.78399999999976</v>
      </c>
      <c r="D163" s="11">
        <f t="shared" si="140"/>
        <v>35.099465485142062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1311.3811370782878</v>
      </c>
      <c r="H163" s="67">
        <f t="shared" si="110"/>
        <v>589.21370238662189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1.9724999999999966</v>
      </c>
      <c r="N163" s="13">
        <f>IF('Données projet'!$A$36&gt;35,N162+M163-V162,IF(A163&lt;'Données projet'!$A$36,$K$205^A163,IF(A163='Données projet'!$A$36,'Données projet'!$B$36,N162+M163-V162)))</f>
        <v>139.78750000000002</v>
      </c>
      <c r="O163" s="13">
        <f>N163*VLOOKUP('Données projet'!$B$9,Paramètres!$A$1:$I$89,3,0)*VLOOKUP('Données projet'!$B$9,Paramètres!$A$1:$I$89,5,0)</f>
        <v>126.47973000000002</v>
      </c>
      <c r="P163" s="13">
        <f t="shared" si="141"/>
        <v>33.181633220856533</v>
      </c>
      <c r="Q163" s="20">
        <f t="shared" si="162"/>
        <v>278.0768742763251</v>
      </c>
      <c r="R163" s="59">
        <f t="shared" si="109"/>
        <v>571.41020760965841</v>
      </c>
      <c r="S163" s="59">
        <f ca="1">AVERAGE(OFFSET($R$3,0,0,'Données projet'!$E$9+1,1))-AVERAGE(OFFSET($H$3,0,0,'Données projet'!$E$9+1,1))</f>
        <v>233.2883475283553</v>
      </c>
      <c r="T163" s="59">
        <f t="shared" si="142"/>
        <v>211.4485324078031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99.05109038084197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99.05109038084197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-2.8421709430404007E-14</v>
      </c>
      <c r="AJ163" s="13">
        <f>AI163*VLOOKUP('Données projet'!$B$10,Paramètres!$A$1:$I$89,3,0)*VLOOKUP('Données projet'!$B$10,Paramètres!$A$1:$I$89,5,0)</f>
        <v>-2.3942448024172337E-14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206.25389915739601</v>
      </c>
      <c r="AO163" s="59">
        <f t="shared" si="144"/>
        <v>155.24154927193064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66.469340997730583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66.469340997730583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135.62639999999976</v>
      </c>
      <c r="D164" s="11">
        <f t="shared" si="140"/>
        <v>35.293231938598417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1319.3796149646175</v>
      </c>
      <c r="H164" s="67">
        <f t="shared" si="110"/>
        <v>591.01835895972511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141.76</v>
      </c>
      <c r="L164" s="12">
        <f>VLOOKUP(A164,'Données projet'!$A$35:$I$55,9,0)</f>
        <v>1.9724999999999966</v>
      </c>
      <c r="M164" s="12">
        <f t="array" ref="M164">INDEX(L:L,MIN(IF(ISNUMBER(L164:L360),ROW(L164:L360),"")))</f>
        <v>1.9724999999999966</v>
      </c>
      <c r="N164" s="13">
        <f>IF('Données projet'!$A$36&gt;35,N163+M164-V163,IF(A164&lt;'Données projet'!$A$36,$K$205^A164,IF(A164='Données projet'!$A$36,'Données projet'!$B$36,N163+M164-V163)))</f>
        <v>141.76000000000002</v>
      </c>
      <c r="O164" s="13">
        <f>N164*VLOOKUP('Données projet'!$B$9,Paramètres!$A$1:$I$89,3,0)*VLOOKUP('Données projet'!$B$9,Paramètres!$A$1:$I$89,5,0)</f>
        <v>128.26444800000002</v>
      </c>
      <c r="P164" s="13">
        <f t="shared" si="141"/>
        <v>33.59501106152112</v>
      </c>
      <c r="Q164" s="20">
        <f t="shared" si="162"/>
        <v>281.9052245321493</v>
      </c>
      <c r="R164" s="59">
        <f t="shared" si="109"/>
        <v>575.23855786548256</v>
      </c>
      <c r="S164" s="59">
        <f ca="1">AVERAGE(OFFSET($R$3,0,0,'Données projet'!$E$9+1,1))-AVERAGE(OFFSET($H$3,0,0,'Données projet'!$E$9+1,1))</f>
        <v>233.2883475283553</v>
      </c>
      <c r="T164" s="59">
        <f t="shared" si="142"/>
        <v>211.4485324078031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47.17</v>
      </c>
      <c r="W164" s="16">
        <f>IF(ISNA(VLOOKUP(A164,'Données projet'!$A$35:$I$55,5,0)),0%,VLOOKUP(A164,'Données projet'!$A$35:$I$55,5,0)*VLOOKUP('Données projet'!$B$9,Paramètres!$A$1:$I$89,7,0))</f>
        <v>0.25800000000000001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109.28141310624457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109.28141310624457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-2.8421709430404007E-14</v>
      </c>
      <c r="AJ164" s="13">
        <f>AI164*VLOOKUP('Données projet'!$B$10,Paramètres!$A$1:$I$89,3,0)*VLOOKUP('Données projet'!$B$10,Paramètres!$A$1:$I$89,5,0)</f>
        <v>-2.3942448024172337E-14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206.25389915739601</v>
      </c>
      <c r="AO164" s="59">
        <f t="shared" si="144"/>
        <v>155.24154927193064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65.16591776305988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65.16591776305988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136.46879999999976</v>
      </c>
      <c r="D165" s="11">
        <f t="shared" si="140"/>
        <v>35.486858352195846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1327.3770118415098</v>
      </c>
      <c r="H165" s="67">
        <f t="shared" si="110"/>
        <v>592.82277163007393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1.2625000000000028</v>
      </c>
      <c r="N165" s="13">
        <f>IF('Données projet'!$A$36&gt;35,N164+M165-V164,IF(A165&lt;'Données projet'!$A$36,$K$205^A165,IF(A165='Données projet'!$A$36,'Données projet'!$B$36,N164+M165-V164)))</f>
        <v>95.852500000000035</v>
      </c>
      <c r="O165" s="13">
        <f>N165*VLOOKUP('Données projet'!$B$9,Paramètres!$A$1:$I$89,3,0)*VLOOKUP('Données projet'!$B$9,Paramètres!$A$1:$I$89,5,0)</f>
        <v>86.727342000000021</v>
      </c>
      <c r="P165" s="13">
        <f t="shared" si="141"/>
        <v>23.774245259956743</v>
      </c>
      <c r="Q165" s="20">
        <f t="shared" si="162"/>
        <v>192.45693114442471</v>
      </c>
      <c r="R165" s="59">
        <f t="shared" si="109"/>
        <v>485.790264477758</v>
      </c>
      <c r="S165" s="59">
        <f ca="1">AVERAGE(OFFSET($R$3,0,0,'Données projet'!$E$9+1,1))-AVERAGE(OFFSET($H$3,0,0,'Données projet'!$E$9+1,1))</f>
        <v>233.2883475283553</v>
      </c>
      <c r="T165" s="59">
        <f t="shared" si="142"/>
        <v>211.4485324078031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107.13847125031147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107.13847125031147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-2.8421709430404007E-14</v>
      </c>
      <c r="AJ165" s="13">
        <f>AI165*VLOOKUP('Données projet'!$B$10,Paramètres!$A$1:$I$89,3,0)*VLOOKUP('Données projet'!$B$10,Paramètres!$A$1:$I$89,5,0)</f>
        <v>-2.3942448024172337E-14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206.25389915739601</v>
      </c>
      <c r="AO165" s="59">
        <f t="shared" si="144"/>
        <v>155.24154927193064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63.888053863011393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63.888053863011393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137.31119999999976</v>
      </c>
      <c r="D166" s="11">
        <f t="shared" si="140"/>
        <v>35.680345690664815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1335.3733351560074</v>
      </c>
      <c r="H166" s="67">
        <f t="shared" si="110"/>
        <v>594.62694207790742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1.2625000000000028</v>
      </c>
      <c r="N166" s="13">
        <f>IF('Données projet'!$A$36&gt;35,N165+M166-V165,IF(A166&lt;'Données projet'!$A$36,$K$205^A166,IF(A166='Données projet'!$A$36,'Données projet'!$B$36,N165+M166-V165)))</f>
        <v>97.115000000000038</v>
      </c>
      <c r="O166" s="13">
        <f>N166*VLOOKUP('Données projet'!$B$9,Paramètres!$A$1:$I$89,3,0)*VLOOKUP('Données projet'!$B$9,Paramètres!$A$1:$I$89,5,0)</f>
        <v>87.869652000000031</v>
      </c>
      <c r="P166" s="13">
        <f t="shared" si="141"/>
        <v>24.050722232835128</v>
      </c>
      <c r="Q166" s="20">
        <f t="shared" si="162"/>
        <v>194.92798512218789</v>
      </c>
      <c r="R166" s="59">
        <f t="shared" si="109"/>
        <v>488.26131845552118</v>
      </c>
      <c r="S166" s="59">
        <f ca="1">AVERAGE(OFFSET($R$3,0,0,'Données projet'!$E$9+1,1))-AVERAGE(OFFSET($H$3,0,0,'Données projet'!$E$9+1,1))</f>
        <v>233.2883475283553</v>
      </c>
      <c r="T166" s="59">
        <f t="shared" si="142"/>
        <v>211.4485324078031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105.03755117710774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105.03755117710774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-2.8421709430404007E-14</v>
      </c>
      <c r="AJ166" s="13">
        <f>AI166*VLOOKUP('Données projet'!$B$10,Paramètres!$A$1:$I$89,3,0)*VLOOKUP('Données projet'!$B$10,Paramètres!$A$1:$I$89,5,0)</f>
        <v>-2.3942448024172337E-14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206.25389915739601</v>
      </c>
      <c r="AO166" s="59">
        <f t="shared" si="144"/>
        <v>155.24154927193064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62.635248094622838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62.635248094622838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138.15359999999976</v>
      </c>
      <c r="D167" s="11">
        <f t="shared" si="140"/>
        <v>35.873694906213892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1343.3685922584914</v>
      </c>
      <c r="H167" s="67">
        <f t="shared" si="110"/>
        <v>596.43087196165538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1.2625000000000028</v>
      </c>
      <c r="N167" s="13">
        <f>IF('Données projet'!$A$36&gt;35,N166+M167-V166,IF(A167&lt;'Données projet'!$A$36,$K$205^A167,IF(A167='Données projet'!$A$36,'Données projet'!$B$36,N166+M167-V166)))</f>
        <v>98.37750000000004</v>
      </c>
      <c r="O167" s="13">
        <f>N167*VLOOKUP('Données projet'!$B$9,Paramètres!$A$1:$I$89,3,0)*VLOOKUP('Données projet'!$B$9,Paramètres!$A$1:$I$89,5,0)</f>
        <v>89.011962000000025</v>
      </c>
      <c r="P167" s="13">
        <f t="shared" si="141"/>
        <v>24.326781143027141</v>
      </c>
      <c r="Q167" s="20">
        <f t="shared" si="162"/>
        <v>197.39831097410561</v>
      </c>
      <c r="R167" s="59">
        <f t="shared" si="109"/>
        <v>490.73164430743896</v>
      </c>
      <c r="S167" s="59">
        <f ca="1">AVERAGE(OFFSET($R$3,0,0,'Données projet'!$E$9+1,1))-AVERAGE(OFFSET($H$3,0,0,'Données projet'!$E$9+1,1))</f>
        <v>233.2883475283553</v>
      </c>
      <c r="T167" s="59">
        <f t="shared" si="142"/>
        <v>211.4485324078031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102.97782886510483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102.97782886510483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-2.8421709430404007E-14</v>
      </c>
      <c r="AJ167" s="13">
        <f>AI167*VLOOKUP('Données projet'!$B$10,Paramètres!$A$1:$I$89,3,0)*VLOOKUP('Données projet'!$B$10,Paramètres!$A$1:$I$89,5,0)</f>
        <v>-2.3942448024172337E-14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206.25389915739601</v>
      </c>
      <c r="AO167" s="59">
        <f t="shared" si="144"/>
        <v>155.24154927193064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61.407009083216316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61.407009083216316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138.99599999999975</v>
      </c>
      <c r="D168" s="11">
        <f t="shared" si="140"/>
        <v>36.066906938767723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1351.3627904045209</v>
      </c>
      <c r="H168" s="67">
        <f t="shared" si="110"/>
        <v>598.23456291835328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>
        <f>VLOOKUP(A168,'Données projet'!$A$35:$I$55,2,0)</f>
        <v>99.64</v>
      </c>
      <c r="L168" s="12">
        <f>VLOOKUP(A168,'Données projet'!$A$35:$I$55,9,0)</f>
        <v>1.2625000000000028</v>
      </c>
      <c r="M168" s="12">
        <f t="array" ref="M168">INDEX(L:L,MIN(IF(ISNUMBER(L168:L364),ROW(L168:L364),"")))</f>
        <v>1.2625000000000028</v>
      </c>
      <c r="N168" s="13">
        <f>IF('Données projet'!$A$36&gt;35,N167+M168-V167,IF(A168&lt;'Données projet'!$A$36,$K$205^A168,IF(A168='Données projet'!$A$36,'Données projet'!$B$36,N167+M168-V167)))</f>
        <v>99.640000000000043</v>
      </c>
      <c r="O168" s="13">
        <f>N168*VLOOKUP('Données projet'!$B$9,Paramètres!$A$1:$I$89,3,0)*VLOOKUP('Données projet'!$B$9,Paramètres!$A$1:$I$89,5,0)</f>
        <v>90.154272000000034</v>
      </c>
      <c r="P168" s="13">
        <f t="shared" si="141"/>
        <v>24.602427975978379</v>
      </c>
      <c r="Q168" s="20">
        <f t="shared" si="162"/>
        <v>199.86791912482906</v>
      </c>
      <c r="R168" s="59">
        <f t="shared" si="109"/>
        <v>493.20125245816234</v>
      </c>
      <c r="S168" s="59">
        <f ca="1">AVERAGE(OFFSET($R$3,0,0,'Données projet'!$E$9+1,1))-AVERAGE(OFFSET($H$3,0,0,'Données projet'!$E$9+1,1))</f>
        <v>233.2883475283553</v>
      </c>
      <c r="T168" s="59">
        <f t="shared" si="142"/>
        <v>211.4485324078031</v>
      </c>
      <c r="U168" s="15">
        <f>IF(ISNA(VLOOKUP(A168,'Données projet'!$A$35:$I$55,3,0)),0,VLOOKUP(A168,'Données projet'!$A$35:$I$55,3,0))</f>
        <v>16</v>
      </c>
      <c r="V168" s="15">
        <f>IF(ISNA(VLOOKUP(A168,'Données projet'!$A$35:$I$55,4,0)),0,VLOOKUP(A168,'Données projet'!$A$35:$I$55,4,0))</f>
        <v>99.64</v>
      </c>
      <c r="W168" s="16">
        <f>IF(ISNA(VLOOKUP(A168,'Données projet'!$A$35:$I$55,5,0)),0%,VLOOKUP(A168,'Données projet'!$A$35:$I$55,5,0)*VLOOKUP('Données projet'!$B$9,Paramètres!$A$1:$I$89,7,0))</f>
        <v>0.25800000000000001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126.67151879069779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126.67151879069779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-2.8421709430404007E-14</v>
      </c>
      <c r="AJ168" s="13">
        <f>AI168*VLOOKUP('Données projet'!$B$10,Paramètres!$A$1:$I$89,3,0)*VLOOKUP('Données projet'!$B$10,Paramètres!$A$1:$I$89,5,0)</f>
        <v>-2.3942448024172337E-14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206.25389915739601</v>
      </c>
      <c r="AO168" s="59">
        <f t="shared" si="144"/>
        <v>155.24154927193064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60.202855089671651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60.202855089671651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139.83839999999975</v>
      </c>
      <c r="D169" s="11">
        <f t="shared" si="140"/>
        <v>36.259982716198799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1359.3559367566206</v>
      </c>
      <c r="H169" s="67">
        <f t="shared" si="110"/>
        <v>600.03801656404585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4.2632564145606011E-14</v>
      </c>
      <c r="O169" s="13">
        <f>N169*VLOOKUP('Données projet'!$B$9,Paramètres!$A$1:$I$89,3,0)*VLOOKUP('Données projet'!$B$9,Paramètres!$A$1:$I$89,5,0)</f>
        <v>3.8573944038944318E-14</v>
      </c>
      <c r="P169" s="13">
        <f t="shared" si="141"/>
        <v>6.4744291689820149E-13</v>
      </c>
      <c r="Q169" s="20">
        <f t="shared" si="162"/>
        <v>1.1948126994655288E-12</v>
      </c>
      <c r="R169" s="59">
        <f t="shared" si="109"/>
        <v>293.33333333333451</v>
      </c>
      <c r="S169" s="59">
        <f ca="1">AVERAGE(OFFSET($R$3,0,0,'Données projet'!$E$9+1,1))-AVERAGE(OFFSET($H$3,0,0,'Données projet'!$E$9+1,1))</f>
        <v>233.2883475283553</v>
      </c>
      <c r="T169" s="59">
        <f t="shared" si="142"/>
        <v>211.4485324078031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124.18756756920968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124.18756756920968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-2.8421709430404007E-14</v>
      </c>
      <c r="AJ169" s="13">
        <f>AI169*VLOOKUP('Données projet'!$B$10,Paramètres!$A$1:$I$89,3,0)*VLOOKUP('Données projet'!$B$10,Paramètres!$A$1:$I$89,5,0)</f>
        <v>-2.3942448024172337E-14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206.25389915739601</v>
      </c>
      <c r="AO169" s="59">
        <f t="shared" si="144"/>
        <v>155.24154927193064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59.022313821478981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59.022313821478981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140.68079999999975</v>
      </c>
      <c r="D170" s="11">
        <f t="shared" si="140"/>
        <v>36.452923154553794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1367.3480383860272</v>
      </c>
      <c r="H170" s="67">
        <f t="shared" si="110"/>
        <v>601.84123449418075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4.2632564145606011E-14</v>
      </c>
      <c r="O170" s="13">
        <f>N170*VLOOKUP('Données projet'!$B$9,Paramètres!$A$1:$I$89,3,0)*VLOOKUP('Données projet'!$B$9,Paramètres!$A$1:$I$89,5,0)</f>
        <v>3.8573944038944318E-14</v>
      </c>
      <c r="P170" s="13">
        <f t="shared" si="141"/>
        <v>6.4744291689820149E-13</v>
      </c>
      <c r="Q170" s="20">
        <f t="shared" si="162"/>
        <v>1.1948126994655288E-12</v>
      </c>
      <c r="R170" s="59">
        <f t="shared" si="109"/>
        <v>293.33333333333451</v>
      </c>
      <c r="S170" s="59">
        <f ca="1">AVERAGE(OFFSET($R$3,0,0,'Données projet'!$E$9+1,1))-AVERAGE(OFFSET($H$3,0,0,'Données projet'!$E$9+1,1))</f>
        <v>233.2883475283553</v>
      </c>
      <c r="T170" s="59">
        <f t="shared" si="142"/>
        <v>211.4485324078031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121.75232511611431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121.75232511611431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-2.8421709430404007E-14</v>
      </c>
      <c r="AJ170" s="13">
        <f>AI170*VLOOKUP('Données projet'!$B$10,Paramètres!$A$1:$I$89,3,0)*VLOOKUP('Données projet'!$B$10,Paramètres!$A$1:$I$89,5,0)</f>
        <v>-2.3942448024172337E-14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206.25389915739601</v>
      </c>
      <c r="AO170" s="59">
        <f t="shared" si="144"/>
        <v>155.24154927193064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57.864922247496501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57.864922247496501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141.52319999999975</v>
      </c>
      <c r="D171" s="11">
        <f t="shared" si="140"/>
        <v>36.645729158274087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1375.3391022743947</v>
      </c>
      <c r="H171" s="67">
        <f t="shared" si="110"/>
        <v>603.64421828399361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4.2632564145606011E-14</v>
      </c>
      <c r="O171" s="13">
        <f>N171*VLOOKUP('Données projet'!$B$9,Paramètres!$A$1:$I$89,3,0)*VLOOKUP('Données projet'!$B$9,Paramètres!$A$1:$I$89,5,0)</f>
        <v>3.8573944038944318E-14</v>
      </c>
      <c r="P171" s="13">
        <f t="shared" si="141"/>
        <v>6.4744291689820149E-13</v>
      </c>
      <c r="Q171" s="20">
        <f t="shared" si="162"/>
        <v>1.1948126994655288E-12</v>
      </c>
      <c r="R171" s="59">
        <f t="shared" si="109"/>
        <v>293.33333333333451</v>
      </c>
      <c r="S171" s="59">
        <f ca="1">AVERAGE(OFFSET($R$3,0,0,'Données projet'!$E$9+1,1))-AVERAGE(OFFSET($H$3,0,0,'Données projet'!$E$9+1,1))</f>
        <v>233.2883475283553</v>
      </c>
      <c r="T171" s="59">
        <f t="shared" si="142"/>
        <v>211.4485324078031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119.3648362821729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119.3648362821729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-2.8421709430404007E-14</v>
      </c>
      <c r="AJ171" s="13">
        <f>AI171*VLOOKUP('Données projet'!$B$10,Paramètres!$A$1:$I$89,3,0)*VLOOKUP('Données projet'!$B$10,Paramètres!$A$1:$I$89,5,0)</f>
        <v>-2.3942448024172337E-14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206.25389915739601</v>
      </c>
      <c r="AO171" s="59">
        <f t="shared" si="144"/>
        <v>155.24154927193064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56.730226416340663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56.730226416340663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142.36559999999974</v>
      </c>
      <c r="D172" s="11">
        <f t="shared" si="140"/>
        <v>36.83840162041102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1383.3291353154516</v>
      </c>
      <c r="H172" s="67">
        <f t="shared" si="110"/>
        <v>605.44696948888202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4.2632564145606011E-14</v>
      </c>
      <c r="O172" s="13">
        <f>N172*VLOOKUP('Données projet'!$B$9,Paramètres!$A$1:$I$89,3,0)*VLOOKUP('Données projet'!$B$9,Paramètres!$A$1:$I$89,5,0)</f>
        <v>3.8573944038944318E-14</v>
      </c>
      <c r="P172" s="13">
        <f t="shared" si="141"/>
        <v>6.4744291689820149E-13</v>
      </c>
      <c r="Q172" s="20">
        <f t="shared" si="162"/>
        <v>1.1948126994655288E-12</v>
      </c>
      <c r="R172" s="59">
        <f t="shared" si="109"/>
        <v>293.33333333333451</v>
      </c>
      <c r="S172" s="59">
        <f ca="1">AVERAGE(OFFSET($R$3,0,0,'Données projet'!$E$9+1,1))-AVERAGE(OFFSET($H$3,0,0,'Données projet'!$E$9+1,1))</f>
        <v>233.2883475283553</v>
      </c>
      <c r="T172" s="59">
        <f t="shared" si="142"/>
        <v>211.4485324078031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117.0241646480407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117.0241646480407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-2.8421709430404007E-14</v>
      </c>
      <c r="AJ172" s="13">
        <f>AI172*VLOOKUP('Données projet'!$B$10,Paramètres!$A$1:$I$89,3,0)*VLOOKUP('Données projet'!$B$10,Paramètres!$A$1:$I$89,5,0)</f>
        <v>-2.3942448024172337E-14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206.25389915739601</v>
      </c>
      <c r="AO172" s="59">
        <f t="shared" si="144"/>
        <v>155.24154927193064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55.617781278337674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55.617781278337674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143.20799999999974</v>
      </c>
      <c r="D173" s="11">
        <f t="shared" si="140"/>
        <v>37.030941422835731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1391.3181443166247</v>
      </c>
      <c r="H173" s="67">
        <f t="shared" si="110"/>
        <v>607.24948964477176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4.2632564145606011E-14</v>
      </c>
      <c r="O173" s="13">
        <f>N173*VLOOKUP('Données projet'!$B$9,Paramètres!$A$1:$I$89,3,0)*VLOOKUP('Données projet'!$B$9,Paramètres!$A$1:$I$89,5,0)</f>
        <v>3.8573944038944318E-14</v>
      </c>
      <c r="P173" s="13">
        <f t="shared" si="141"/>
        <v>6.4744291689820149E-13</v>
      </c>
      <c r="Q173" s="20">
        <f t="shared" si="162"/>
        <v>1.1948126994655288E-12</v>
      </c>
      <c r="R173" s="59">
        <f t="shared" si="109"/>
        <v>293.33333333333451</v>
      </c>
      <c r="S173" s="59">
        <f ca="1">AVERAGE(OFFSET($R$3,0,0,'Données projet'!$E$9+1,1))-AVERAGE(OFFSET($H$3,0,0,'Données projet'!$E$9+1,1))</f>
        <v>233.2883475283553</v>
      </c>
      <c r="T173" s="59">
        <f t="shared" si="142"/>
        <v>211.4485324078031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114.72939215698509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114.72939215698509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-2.8421709430404007E-14</v>
      </c>
      <c r="AJ173" s="13">
        <f>AI173*VLOOKUP('Données projet'!$B$10,Paramètres!$A$1:$I$89,3,0)*VLOOKUP('Données projet'!$B$10,Paramètres!$A$1:$I$89,5,0)</f>
        <v>-2.3942448024172337E-14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206.25389915739601</v>
      </c>
      <c r="AO173" s="59">
        <f t="shared" si="144"/>
        <v>155.24154927193064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54.527150510966386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54.527150510966386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144.05039999999974</v>
      </c>
      <c r="D174" s="11">
        <f t="shared" si="140"/>
        <v>37.22334943644438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1399.3061360006213</v>
      </c>
      <c r="H174" s="67">
        <f t="shared" si="110"/>
        <v>609.05178026847352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4.2632564145606011E-14</v>
      </c>
      <c r="O174" s="13">
        <f>N174*VLOOKUP('Données projet'!$B$9,Paramètres!$A$1:$I$89,3,0)*VLOOKUP('Données projet'!$B$9,Paramètres!$A$1:$I$89,5,0)</f>
        <v>3.8573944038944318E-14</v>
      </c>
      <c r="P174" s="13">
        <f t="shared" si="141"/>
        <v>6.4744291689820149E-13</v>
      </c>
      <c r="Q174" s="20">
        <f t="shared" si="162"/>
        <v>1.1948126994655288E-12</v>
      </c>
      <c r="R174" s="59">
        <f t="shared" si="109"/>
        <v>293.33333333333451</v>
      </c>
      <c r="S174" s="59">
        <f ca="1">AVERAGE(OFFSET($R$3,0,0,'Données projet'!$E$9+1,1))-AVERAGE(OFFSET($H$3,0,0,'Données projet'!$E$9+1,1))</f>
        <v>233.2883475283553</v>
      </c>
      <c r="T174" s="59">
        <f t="shared" si="142"/>
        <v>211.4485324078031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112.47961875480607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112.47961875480607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-2.8421709430404007E-14</v>
      </c>
      <c r="AJ174" s="13">
        <f>AI174*VLOOKUP('Données projet'!$B$10,Paramètres!$A$1:$I$89,3,0)*VLOOKUP('Données projet'!$B$10,Paramètres!$A$1:$I$89,5,0)</f>
        <v>-2.3942448024172337E-14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206.25389915739601</v>
      </c>
      <c r="AO174" s="59">
        <f t="shared" si="144"/>
        <v>155.24154927193064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53.457906347724162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53.457906347724162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144.89279999999974</v>
      </c>
      <c r="D175" s="11">
        <f t="shared" si="140"/>
        <v>37.415626521357609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1407.2931170069689</v>
      </c>
      <c r="H175" s="67">
        <f t="shared" si="110"/>
        <v>610.8538428580307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4.2632564145606011E-14</v>
      </c>
      <c r="O175" s="13">
        <f>N175*VLOOKUP('Données projet'!$B$9,Paramètres!$A$1:$I$89,3,0)*VLOOKUP('Données projet'!$B$9,Paramètres!$A$1:$I$89,5,0)</f>
        <v>3.8573944038944318E-14</v>
      </c>
      <c r="P175" s="13">
        <f t="shared" si="141"/>
        <v>6.4744291689820149E-13</v>
      </c>
      <c r="Q175" s="20">
        <f t="shared" si="162"/>
        <v>1.1948126994655288E-12</v>
      </c>
      <c r="R175" s="59">
        <f t="shared" si="109"/>
        <v>293.33333333333451</v>
      </c>
      <c r="S175" s="59">
        <f ca="1">AVERAGE(OFFSET($R$3,0,0,'Données projet'!$E$9+1,1))-AVERAGE(OFFSET($H$3,0,0,'Données projet'!$E$9+1,1))</f>
        <v>233.2883475283553</v>
      </c>
      <c r="T175" s="59">
        <f t="shared" si="142"/>
        <v>211.4485324078031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110.27396203681751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110.27396203681751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-2.8421709430404007E-14</v>
      </c>
      <c r="AJ175" s="13">
        <f>AI175*VLOOKUP('Données projet'!$B$10,Paramètres!$A$1:$I$89,3,0)*VLOOKUP('Données projet'!$B$10,Paramètres!$A$1:$I$89,5,0)</f>
        <v>-2.3942448024172337E-14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206.25389915739601</v>
      </c>
      <c r="AO175" s="59">
        <f t="shared" si="144"/>
        <v>155.24154927193064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52.409629410348579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52.409629410348579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145.73519999999974</v>
      </c>
      <c r="D176" s="11">
        <f t="shared" si="140"/>
        <v>37.607773527116159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1415.2790938935261</v>
      </c>
      <c r="H176" s="67">
        <f t="shared" si="110"/>
        <v>612.65567889306021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4.2632564145606011E-14</v>
      </c>
      <c r="O176" s="13">
        <f>N176*VLOOKUP('Données projet'!$B$9,Paramètres!$A$1:$I$89,3,0)*VLOOKUP('Données projet'!$B$9,Paramètres!$A$1:$I$89,5,0)</f>
        <v>3.8573944038944318E-14</v>
      </c>
      <c r="P176" s="13">
        <f t="shared" si="141"/>
        <v>6.4744291689820149E-13</v>
      </c>
      <c r="Q176" s="20">
        <f t="shared" si="162"/>
        <v>1.1948126994655288E-12</v>
      </c>
      <c r="R176" s="59">
        <f t="shared" si="109"/>
        <v>293.33333333333451</v>
      </c>
      <c r="S176" s="59">
        <f ca="1">AVERAGE(OFFSET($R$3,0,0,'Données projet'!$E$9+1,1))-AVERAGE(OFFSET($H$3,0,0,'Données projet'!$E$9+1,1))</f>
        <v>233.2883475283553</v>
      </c>
      <c r="T176" s="59">
        <f t="shared" si="142"/>
        <v>211.4485324078031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108.11155690175094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108.11155690175094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-2.8421709430404007E-14</v>
      </c>
      <c r="AJ176" s="13">
        <f>AI176*VLOOKUP('Données projet'!$B$10,Paramètres!$A$1:$I$89,3,0)*VLOOKUP('Données projet'!$B$10,Paramètres!$A$1:$I$89,5,0)</f>
        <v>-2.3942448024172337E-14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206.25389915739601</v>
      </c>
      <c r="AO176" s="59">
        <f t="shared" si="144"/>
        <v>155.24154927193064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51.381908544329136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51.381908544329136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146.57759999999973</v>
      </c>
      <c r="D177" s="11">
        <f t="shared" si="140"/>
        <v>37.799791292871177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1423.2640731379513</v>
      </c>
      <c r="H177" s="67">
        <f t="shared" si="110"/>
        <v>614.45728983508354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4.2632564145606011E-14</v>
      </c>
      <c r="O177" s="13">
        <f>N177*VLOOKUP('Données projet'!$B$9,Paramètres!$A$1:$I$89,3,0)*VLOOKUP('Données projet'!$B$9,Paramètres!$A$1:$I$89,5,0)</f>
        <v>3.8573944038944318E-14</v>
      </c>
      <c r="P177" s="13">
        <f t="shared" si="141"/>
        <v>6.4744291689820149E-13</v>
      </c>
      <c r="Q177" s="20">
        <f t="shared" si="162"/>
        <v>1.1948126994655288E-12</v>
      </c>
      <c r="R177" s="59">
        <f t="shared" si="109"/>
        <v>293.33333333333451</v>
      </c>
      <c r="S177" s="59">
        <f ca="1">AVERAGE(OFFSET($R$3,0,0,'Données projet'!$E$9+1,1))-AVERAGE(OFFSET($H$3,0,0,'Données projet'!$E$9+1,1))</f>
        <v>233.2883475283553</v>
      </c>
      <c r="T177" s="59">
        <f t="shared" si="142"/>
        <v>211.4485324078031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105.99155521244613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105.99155521244613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-2.8421709430404007E-14</v>
      </c>
      <c r="AJ177" s="13">
        <f>AI177*VLOOKUP('Données projet'!$B$10,Paramètres!$A$1:$I$89,3,0)*VLOOKUP('Données projet'!$B$10,Paramètres!$A$1:$I$89,5,0)</f>
        <v>-2.3942448024172337E-14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206.25389915739601</v>
      </c>
      <c r="AO177" s="59">
        <f t="shared" si="144"/>
        <v>155.24154927193064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50.374340657644495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50.374340657644495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147.41999999999973</v>
      </c>
      <c r="D178" s="11">
        <f t="shared" si="140"/>
        <v>37.99168064757022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1431.2480611391366</v>
      </c>
      <c r="H178" s="67">
        <f t="shared" si="110"/>
        <v>616.25867712785089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4.2632564145606011E-14</v>
      </c>
      <c r="O178" s="13">
        <f>N178*VLOOKUP('Données projet'!$B$9,Paramètres!$A$1:$I$89,3,0)*VLOOKUP('Données projet'!$B$9,Paramètres!$A$1:$I$89,5,0)</f>
        <v>3.8573944038944318E-14</v>
      </c>
      <c r="P178" s="13">
        <f t="shared" si="141"/>
        <v>6.4744291689820149E-13</v>
      </c>
      <c r="Q178" s="20">
        <f t="shared" si="162"/>
        <v>1.1948126994655288E-12</v>
      </c>
      <c r="R178" s="59">
        <f t="shared" si="109"/>
        <v>293.33333333333451</v>
      </c>
      <c r="S178" s="59">
        <f ca="1">AVERAGE(OFFSET($R$3,0,0,'Données projet'!$E$9+1,1))-AVERAGE(OFFSET($H$3,0,0,'Données projet'!$E$9+1,1))</f>
        <v>233.2883475283553</v>
      </c>
      <c r="T178" s="59">
        <f t="shared" si="142"/>
        <v>211.4485324078031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103.91312546319523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103.91312546319523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-2.8421709430404007E-14</v>
      </c>
      <c r="AJ178" s="13">
        <f>AI178*VLOOKUP('Données projet'!$B$10,Paramètres!$A$1:$I$89,3,0)*VLOOKUP('Données projet'!$B$10,Paramètres!$A$1:$I$89,5,0)</f>
        <v>-2.3942448024172337E-14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206.25389915739601</v>
      </c>
      <c r="AO178" s="59">
        <f t="shared" si="144"/>
        <v>155.24154927193064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49.386530562662017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49.386530562662017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148.26239999999973</v>
      </c>
      <c r="D179" s="11">
        <f t="shared" si="140"/>
        <v>38.183442410139051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1439.2310642186151</v>
      </c>
      <c r="H179" s="67">
        <f t="shared" si="110"/>
        <v>618.05984219765833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4.2632564145606011E-14</v>
      </c>
      <c r="O179" s="13">
        <f>N179*VLOOKUP('Données projet'!$B$9,Paramètres!$A$1:$I$89,3,0)*VLOOKUP('Données projet'!$B$9,Paramètres!$A$1:$I$89,5,0)</f>
        <v>3.8573944038944318E-14</v>
      </c>
      <c r="P179" s="13">
        <f t="shared" si="141"/>
        <v>6.4744291689820149E-13</v>
      </c>
      <c r="Q179" s="20">
        <f t="shared" si="162"/>
        <v>1.1948126994655288E-12</v>
      </c>
      <c r="R179" s="59">
        <f t="shared" si="109"/>
        <v>293.33333333333451</v>
      </c>
      <c r="S179" s="59">
        <f ca="1">AVERAGE(OFFSET($R$3,0,0,'Données projet'!$E$9+1,1))-AVERAGE(OFFSET($H$3,0,0,'Données projet'!$E$9+1,1))</f>
        <v>233.2883475283553</v>
      </c>
      <c r="T179" s="59">
        <f t="shared" si="142"/>
        <v>211.4485324078031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101.87545245361018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101.87545245361018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-2.8421709430404007E-14</v>
      </c>
      <c r="AJ179" s="13">
        <f>AI179*VLOOKUP('Données projet'!$B$10,Paramètres!$A$1:$I$89,3,0)*VLOOKUP('Données projet'!$B$10,Paramètres!$A$1:$I$89,5,0)</f>
        <v>-2.3942448024172337E-14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206.25389915739601</v>
      </c>
      <c r="AO179" s="59">
        <f t="shared" si="144"/>
        <v>155.24154927193064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48.418090821137476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48.418090821137476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149.10479999999973</v>
      </c>
      <c r="D180" s="11">
        <f t="shared" si="140"/>
        <v>38.375077389658856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1447.2130886219259</v>
      </c>
      <c r="H180" s="67">
        <f t="shared" si="110"/>
        <v>619.86078645365535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4.2632564145606011E-14</v>
      </c>
      <c r="O180" s="13">
        <f>N180*VLOOKUP('Données projet'!$B$9,Paramètres!$A$1:$I$89,3,0)*VLOOKUP('Données projet'!$B$9,Paramètres!$A$1:$I$89,5,0)</f>
        <v>3.8573944038944318E-14</v>
      </c>
      <c r="P180" s="13">
        <f t="shared" si="141"/>
        <v>6.4744291689820149E-13</v>
      </c>
      <c r="Q180" s="20">
        <f t="shared" si="162"/>
        <v>1.1948126994655288E-12</v>
      </c>
      <c r="R180" s="59">
        <f t="shared" si="109"/>
        <v>293.33333333333451</v>
      </c>
      <c r="S180" s="59">
        <f ca="1">AVERAGE(OFFSET($R$3,0,0,'Données projet'!$E$9+1,1))-AVERAGE(OFFSET($H$3,0,0,'Données projet'!$E$9+1,1))</f>
        <v>233.2883475283553</v>
      </c>
      <c r="T180" s="59">
        <f t="shared" si="142"/>
        <v>211.4485324078031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99.877736968885273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99.877736968885273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-2.8421709430404007E-14</v>
      </c>
      <c r="AJ180" s="13">
        <f>AI180*VLOOKUP('Données projet'!$B$10,Paramètres!$A$1:$I$89,3,0)*VLOOKUP('Données projet'!$B$10,Paramètres!$A$1:$I$89,5,0)</f>
        <v>-2.3942448024172337E-14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206.25389915739601</v>
      </c>
      <c r="AO180" s="59">
        <f t="shared" si="144"/>
        <v>155.24154927193064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47.468641592254315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47.468641592254315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149.94719999999973</v>
      </c>
      <c r="D181" s="11">
        <f t="shared" si="140"/>
        <v>38.566586385539715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1455.1941405199534</v>
      </c>
      <c r="H181" s="67">
        <f t="shared" si="110"/>
        <v>621.66151128814784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4.2632564145606011E-14</v>
      </c>
      <c r="O181" s="13">
        <f>N181*VLOOKUP('Données projet'!$B$9,Paramètres!$A$1:$I$89,3,0)*VLOOKUP('Données projet'!$B$9,Paramètres!$A$1:$I$89,5,0)</f>
        <v>3.8573944038944318E-14</v>
      </c>
      <c r="P181" s="13">
        <f t="shared" si="141"/>
        <v>6.4744291689820149E-13</v>
      </c>
      <c r="Q181" s="20">
        <f t="shared" si="162"/>
        <v>1.1948126994655288E-12</v>
      </c>
      <c r="R181" s="59">
        <f t="shared" si="109"/>
        <v>293.33333333333451</v>
      </c>
      <c r="S181" s="59">
        <f ca="1">AVERAGE(OFFSET($R$3,0,0,'Données projet'!$E$9+1,1))-AVERAGE(OFFSET($H$3,0,0,'Données projet'!$E$9+1,1))</f>
        <v>233.2883475283553</v>
      </c>
      <c r="T181" s="59">
        <f t="shared" si="142"/>
        <v>211.4485324078031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97.919195466329697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97.919195466329697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-2.8421709430404007E-14</v>
      </c>
      <c r="AJ181" s="13">
        <f>AI181*VLOOKUP('Données projet'!$B$10,Paramètres!$A$1:$I$89,3,0)*VLOOKUP('Données projet'!$B$10,Paramètres!$A$1:$I$89,5,0)</f>
        <v>-2.3942448024172337E-14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206.25389915739601</v>
      </c>
      <c r="AO181" s="59">
        <f t="shared" si="144"/>
        <v>155.24154927193064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46.537810483642708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46.537810483642708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150.78959999999972</v>
      </c>
      <c r="D182" s="11">
        <f t="shared" si="140"/>
        <v>38.757970187689651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1463.1742260102337</v>
      </c>
      <c r="H182" s="67">
        <f t="shared" si="110"/>
        <v>623.46201807689226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4.2632564145606011E-14</v>
      </c>
      <c r="O182" s="13">
        <f>N182*VLOOKUP('Données projet'!$B$9,Paramètres!$A$1:$I$89,3,0)*VLOOKUP('Données projet'!$B$9,Paramètres!$A$1:$I$89,5,0)</f>
        <v>3.8573944038944318E-14</v>
      </c>
      <c r="P182" s="13">
        <f t="shared" si="141"/>
        <v>6.4744291689820149E-13</v>
      </c>
      <c r="Q182" s="20">
        <f t="shared" si="162"/>
        <v>1.1948126994655288E-12</v>
      </c>
      <c r="R182" s="59">
        <f t="shared" si="109"/>
        <v>293.33333333333451</v>
      </c>
      <c r="S182" s="59">
        <f ca="1">AVERAGE(OFFSET($R$3,0,0,'Données projet'!$E$9+1,1))-AVERAGE(OFFSET($H$3,0,0,'Données projet'!$E$9+1,1))</f>
        <v>233.2883475283553</v>
      </c>
      <c r="T182" s="59">
        <f t="shared" si="142"/>
        <v>211.4485324078031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95.999059768046877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95.999059768046877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-2.8421709430404007E-14</v>
      </c>
      <c r="AJ182" s="13">
        <f>AI182*VLOOKUP('Données projet'!$B$10,Paramètres!$A$1:$I$89,3,0)*VLOOKUP('Données projet'!$B$10,Paramètres!$A$1:$I$89,5,0)</f>
        <v>-2.3942448024172337E-14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206.25389915739601</v>
      </c>
      <c r="AO182" s="59">
        <f t="shared" si="144"/>
        <v>155.24154927193064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45.625232405320055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45.625232405320055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151.63199999999972</v>
      </c>
      <c r="D183" s="11">
        <f t="shared" si="140"/>
        <v>38.949229576680295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1471.1533511182317</v>
      </c>
      <c r="H183" s="67">
        <f t="shared" si="110"/>
        <v>625.26230817938438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4.2632564145606011E-14</v>
      </c>
      <c r="O183" s="13">
        <f>N183*VLOOKUP('Données projet'!$B$9,Paramètres!$A$1:$I$89,3,0)*VLOOKUP('Données projet'!$B$9,Paramètres!$A$1:$I$89,5,0)</f>
        <v>3.8573944038944318E-14</v>
      </c>
      <c r="P183" s="13">
        <f t="shared" si="141"/>
        <v>6.4744291689820149E-13</v>
      </c>
      <c r="Q183" s="20">
        <f t="shared" si="162"/>
        <v>1.1948126994655288E-12</v>
      </c>
      <c r="R183" s="59">
        <f t="shared" si="109"/>
        <v>293.33333333333451</v>
      </c>
      <c r="S183" s="59">
        <f ca="1">AVERAGE(OFFSET($R$3,0,0,'Données projet'!$E$9+1,1))-AVERAGE(OFFSET($H$3,0,0,'Données projet'!$E$9+1,1))</f>
        <v>233.2883475283553</v>
      </c>
      <c r="T183" s="59">
        <f t="shared" si="142"/>
        <v>211.4485324078031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94.116576759640239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94.116576759640239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-2.8421709430404007E-14</v>
      </c>
      <c r="AJ183" s="13">
        <f>AI183*VLOOKUP('Données projet'!$B$10,Paramètres!$A$1:$I$89,3,0)*VLOOKUP('Données projet'!$B$10,Paramètres!$A$1:$I$89,5,0)</f>
        <v>-2.3942448024172337E-14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206.25389915739601</v>
      </c>
      <c r="AO183" s="59">
        <f t="shared" si="144"/>
        <v>155.24154927193064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44.730549426495649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44.730549426495649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152.47439999999972</v>
      </c>
      <c r="D184" s="11">
        <f t="shared" si="140"/>
        <v>39.1403653239081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1479.1315217985866</v>
      </c>
      <c r="H184" s="67">
        <f t="shared" si="110"/>
        <v>627.06238293913941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4.2632564145606011E-14</v>
      </c>
      <c r="O184" s="13">
        <f>N184*VLOOKUP('Données projet'!$B$9,Paramètres!$A$1:$I$89,3,0)*VLOOKUP('Données projet'!$B$9,Paramètres!$A$1:$I$89,5,0)</f>
        <v>3.8573944038944318E-14</v>
      </c>
      <c r="P184" s="13">
        <f t="shared" si="141"/>
        <v>6.4744291689820149E-13</v>
      </c>
      <c r="Q184" s="20">
        <f t="shared" si="162"/>
        <v>1.1948126994655288E-12</v>
      </c>
      <c r="R184" s="59">
        <f t="shared" si="109"/>
        <v>293.33333333333451</v>
      </c>
      <c r="S184" s="59">
        <f ca="1">AVERAGE(OFFSET($R$3,0,0,'Données projet'!$E$9+1,1))-AVERAGE(OFFSET($H$3,0,0,'Données projet'!$E$9+1,1))</f>
        <v>233.2883475283553</v>
      </c>
      <c r="T184" s="59">
        <f t="shared" si="142"/>
        <v>211.4485324078031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92.271008094827195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92.271008094827195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-2.8421709430404007E-14</v>
      </c>
      <c r="AJ184" s="13">
        <f>AI184*VLOOKUP('Données projet'!$B$10,Paramètres!$A$1:$I$89,3,0)*VLOOKUP('Données projet'!$B$10,Paramètres!$A$1:$I$89,5,0)</f>
        <v>-2.3942448024172337E-14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206.25389915739601</v>
      </c>
      <c r="AO184" s="59">
        <f t="shared" si="144"/>
        <v>155.24154927193064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43.853410635183252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43.853410635183252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153.31679999999972</v>
      </c>
      <c r="D185" s="11">
        <f t="shared" si="140"/>
        <v>39.331378191752684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1487.1087439363343</v>
      </c>
      <c r="H185" s="67">
        <f t="shared" si="110"/>
        <v>628.8622436839687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4.2632564145606011E-14</v>
      </c>
      <c r="O185" s="13">
        <f>N185*VLOOKUP('Données projet'!$B$9,Paramètres!$A$1:$I$89,3,0)*VLOOKUP('Données projet'!$B$9,Paramètres!$A$1:$I$89,5,0)</f>
        <v>3.8573944038944318E-14</v>
      </c>
      <c r="P185" s="13">
        <f t="shared" si="141"/>
        <v>6.4744291689820149E-13</v>
      </c>
      <c r="Q185" s="20">
        <f t="shared" si="162"/>
        <v>1.1948126994655288E-12</v>
      </c>
      <c r="R185" s="59">
        <f t="shared" si="109"/>
        <v>293.33333333333451</v>
      </c>
      <c r="S185" s="59">
        <f ca="1">AVERAGE(OFFSET($R$3,0,0,'Données projet'!$E$9+1,1))-AVERAGE(OFFSET($H$3,0,0,'Données projet'!$E$9+1,1))</f>
        <v>233.2883475283553</v>
      </c>
      <c r="T185" s="59">
        <f t="shared" si="142"/>
        <v>211.4485324078031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90.461629905845413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90.461629905845413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-2.8421709430404007E-14</v>
      </c>
      <c r="AJ185" s="13">
        <f>AI185*VLOOKUP('Données projet'!$B$10,Paramètres!$A$1:$I$89,3,0)*VLOOKUP('Données projet'!$B$10,Paramètres!$A$1:$I$89,5,0)</f>
        <v>-2.3942448024172337E-14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206.25389915739601</v>
      </c>
      <c r="AO185" s="59">
        <f t="shared" si="144"/>
        <v>155.24154927193064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42.993472000566655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42.993472000566655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154.15919999999971</v>
      </c>
      <c r="D186" s="11">
        <f t="shared" si="140"/>
        <v>39.522268933730913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1495.0850233480962</v>
      </c>
      <c r="H186" s="67">
        <f t="shared" si="110"/>
        <v>630.6618917262474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4.2632564145606011E-14</v>
      </c>
      <c r="O186" s="13">
        <f>N186*VLOOKUP('Données projet'!$B$9,Paramètres!$A$1:$I$89,3,0)*VLOOKUP('Données projet'!$B$9,Paramètres!$A$1:$I$89,5,0)</f>
        <v>3.8573944038944318E-14</v>
      </c>
      <c r="P186" s="13">
        <f t="shared" si="141"/>
        <v>6.4744291689820149E-13</v>
      </c>
      <c r="Q186" s="20">
        <f t="shared" si="162"/>
        <v>1.1948126994655288E-12</v>
      </c>
      <c r="R186" s="59">
        <f t="shared" si="109"/>
        <v>293.33333333333451</v>
      </c>
      <c r="S186" s="59">
        <f ca="1">AVERAGE(OFFSET($R$3,0,0,'Données projet'!$E$9+1,1))-AVERAGE(OFFSET($H$3,0,0,'Données projet'!$E$9+1,1))</f>
        <v>233.2883475283553</v>
      </c>
      <c r="T186" s="59">
        <f t="shared" si="142"/>
        <v>211.4485324078031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88.687732519537832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88.687732519537832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-2.8421709430404007E-14</v>
      </c>
      <c r="AJ186" s="13">
        <f>AI186*VLOOKUP('Données projet'!$B$10,Paramètres!$A$1:$I$89,3,0)*VLOOKUP('Données projet'!$B$10,Paramètres!$A$1:$I$89,5,0)</f>
        <v>-2.3942448024172337E-14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206.25389915739601</v>
      </c>
      <c r="AO186" s="59">
        <f t="shared" si="144"/>
        <v>155.24154927193064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42.150396238064111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42.150396238064111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155.00159999999971</v>
      </c>
      <c r="D187" s="11">
        <f t="shared" si="140"/>
        <v>39.713038294647816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1503.0603657832442</v>
      </c>
      <c r="H187" s="67">
        <f t="shared" si="110"/>
        <v>632.4613283631777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4.2632564145606011E-14</v>
      </c>
      <c r="O187" s="13">
        <f>N187*VLOOKUP('Données projet'!$B$9,Paramètres!$A$1:$I$89,3,0)*VLOOKUP('Données projet'!$B$9,Paramètres!$A$1:$I$89,5,0)</f>
        <v>3.8573944038944318E-14</v>
      </c>
      <c r="P187" s="13">
        <f t="shared" si="141"/>
        <v>6.4744291689820149E-13</v>
      </c>
      <c r="Q187" s="20">
        <f t="shared" si="162"/>
        <v>1.1948126994655288E-12</v>
      </c>
      <c r="R187" s="59">
        <f t="shared" si="109"/>
        <v>293.33333333333451</v>
      </c>
      <c r="S187" s="59">
        <f ca="1">AVERAGE(OFFSET($R$3,0,0,'Données projet'!$E$9+1,1))-AVERAGE(OFFSET($H$3,0,0,'Données projet'!$E$9+1,1))</f>
        <v>233.2883475283553</v>
      </c>
      <c r="T187" s="59">
        <f t="shared" si="142"/>
        <v>211.4485324078031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86.948620179005175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86.948620179005175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-2.8421709430404007E-14</v>
      </c>
      <c r="AJ187" s="13">
        <f>AI187*VLOOKUP('Données projet'!$B$10,Paramètres!$A$1:$I$89,3,0)*VLOOKUP('Données projet'!$B$10,Paramètres!$A$1:$I$89,5,0)</f>
        <v>-2.3942448024172337E-14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206.25389915739601</v>
      </c>
      <c r="AO187" s="59">
        <f t="shared" si="144"/>
        <v>155.24154927193064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41.323852677038808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41.323852677038808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155.84399999999971</v>
      </c>
      <c r="D188" s="11">
        <f t="shared" si="140"/>
        <v>39.90368701074415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1511.0347769250402</v>
      </c>
      <c r="H188" s="67">
        <f t="shared" si="110"/>
        <v>634.26055487704548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4.2632564145606011E-14</v>
      </c>
      <c r="O188" s="13">
        <f>N188*VLOOKUP('Données projet'!$B$9,Paramètres!$A$1:$I$89,3,0)*VLOOKUP('Données projet'!$B$9,Paramètres!$A$1:$I$89,5,0)</f>
        <v>3.8573944038944318E-14</v>
      </c>
      <c r="P188" s="13">
        <f t="shared" si="141"/>
        <v>6.4744291689820149E-13</v>
      </c>
      <c r="Q188" s="20">
        <f t="shared" si="162"/>
        <v>1.1948126994655288E-12</v>
      </c>
      <c r="R188" s="59">
        <f t="shared" si="109"/>
        <v>293.33333333333451</v>
      </c>
      <c r="S188" s="59">
        <f ca="1">AVERAGE(OFFSET($R$3,0,0,'Données projet'!$E$9+1,1))-AVERAGE(OFFSET($H$3,0,0,'Données projet'!$E$9+1,1))</f>
        <v>233.2883475283553</v>
      </c>
      <c r="T188" s="59">
        <f t="shared" si="142"/>
        <v>211.4485324078031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85.243610770716572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85.243610770716572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-2.8421709430404007E-14</v>
      </c>
      <c r="AJ188" s="13">
        <f>AI188*VLOOKUP('Données projet'!$B$10,Paramètres!$A$1:$I$89,3,0)*VLOOKUP('Données projet'!$B$10,Paramètres!$A$1:$I$89,5,0)</f>
        <v>-2.3942448024172337E-14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206.25389915739601</v>
      </c>
      <c r="AO188" s="59">
        <f t="shared" si="144"/>
        <v>155.24154927193064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40.51351713110342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40.51351713110342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156.68639999999971</v>
      </c>
      <c r="D189" s="11">
        <f t="shared" si="140"/>
        <v>40.094215809840641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1519.0082623917499</v>
      </c>
      <c r="H189" s="67">
        <f t="shared" si="110"/>
        <v>636.05957253547194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4.2632564145606011E-14</v>
      </c>
      <c r="O189" s="13">
        <f>N189*VLOOKUP('Données projet'!$B$9,Paramètres!$A$1:$I$89,3,0)*VLOOKUP('Données projet'!$B$9,Paramètres!$A$1:$I$89,5,0)</f>
        <v>3.8573944038944318E-14</v>
      </c>
      <c r="P189" s="13">
        <f t="shared" si="141"/>
        <v>6.4744291689820149E-13</v>
      </c>
      <c r="Q189" s="20">
        <f t="shared" si="162"/>
        <v>1.1948126994655288E-12</v>
      </c>
      <c r="R189" s="59">
        <f t="shared" si="109"/>
        <v>293.33333333333451</v>
      </c>
      <c r="S189" s="59">
        <f ca="1">AVERAGE(OFFSET($R$3,0,0,'Données projet'!$E$9+1,1))-AVERAGE(OFFSET($H$3,0,0,'Données projet'!$E$9+1,1))</f>
        <v>233.2883475283553</v>
      </c>
      <c r="T189" s="59">
        <f t="shared" si="142"/>
        <v>211.4485324078031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83.572035556971457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83.572035556971457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-2.8421709430404007E-14</v>
      </c>
      <c r="AJ189" s="13">
        <f>AI189*VLOOKUP('Données projet'!$B$10,Paramètres!$A$1:$I$89,3,0)*VLOOKUP('Données projet'!$B$10,Paramètres!$A$1:$I$89,5,0)</f>
        <v>-2.3942448024172337E-14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206.25389915739601</v>
      </c>
      <c r="AO189" s="59">
        <f t="shared" si="144"/>
        <v>155.24154927193064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39.719071770967943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39.719071770967943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157.52879999999971</v>
      </c>
      <c r="D190" s="11">
        <f t="shared" si="140"/>
        <v>40.284625411478942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1526.9808277377299</v>
      </c>
      <c r="H190" s="67">
        <f t="shared" si="110"/>
        <v>637.8583825916586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4.2632564145606011E-14</v>
      </c>
      <c r="O190" s="13">
        <f>N190*VLOOKUP('Données projet'!$B$9,Paramètres!$A$1:$I$89,3,0)*VLOOKUP('Données projet'!$B$9,Paramètres!$A$1:$I$89,5,0)</f>
        <v>3.8573944038944318E-14</v>
      </c>
      <c r="P190" s="13">
        <f t="shared" si="141"/>
        <v>6.4744291689820149E-13</v>
      </c>
      <c r="Q190" s="20">
        <f t="shared" si="162"/>
        <v>1.1948126994655288E-12</v>
      </c>
      <c r="R190" s="59">
        <f t="shared" si="109"/>
        <v>293.33333333333451</v>
      </c>
      <c r="S190" s="59">
        <f ca="1">AVERAGE(OFFSET($R$3,0,0,'Données projet'!$E$9+1,1))-AVERAGE(OFFSET($H$3,0,0,'Données projet'!$E$9+1,1))</f>
        <v>233.2883475283553</v>
      </c>
      <c r="T190" s="59">
        <f t="shared" si="142"/>
        <v>211.4485324078031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81.933238913607681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81.933238913607681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-2.8421709430404007E-14</v>
      </c>
      <c r="AJ190" s="13">
        <f>AI190*VLOOKUP('Données projet'!$B$10,Paramètres!$A$1:$I$89,3,0)*VLOOKUP('Données projet'!$B$10,Paramètres!$A$1:$I$89,5,0)</f>
        <v>-2.3942448024172337E-14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206.25389915739601</v>
      </c>
      <c r="AO190" s="59">
        <f t="shared" si="144"/>
        <v>155.24154927193064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38.940204999780903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38.940204999780903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158.3711999999997</v>
      </c>
      <c r="D191" s="11">
        <f t="shared" si="140"/>
        <v>40.474916527059634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1534.9524784544931</v>
      </c>
      <c r="H191" s="67">
        <f t="shared" si="110"/>
        <v>639.65698628462837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4.2632564145606011E-14</v>
      </c>
      <c r="O191" s="13">
        <f>N191*VLOOKUP('Données projet'!$B$9,Paramètres!$A$1:$I$89,3,0)*VLOOKUP('Données projet'!$B$9,Paramètres!$A$1:$I$89,5,0)</f>
        <v>3.8573944038944318E-14</v>
      </c>
      <c r="P191" s="13">
        <f t="shared" si="141"/>
        <v>6.4744291689820149E-13</v>
      </c>
      <c r="Q191" s="20">
        <f t="shared" si="162"/>
        <v>1.1948126994655288E-12</v>
      </c>
      <c r="R191" s="59">
        <f t="shared" si="109"/>
        <v>293.33333333333451</v>
      </c>
      <c r="S191" s="59">
        <f ca="1">AVERAGE(OFFSET($R$3,0,0,'Données projet'!$E$9+1,1))-AVERAGE(OFFSET($H$3,0,0,'Données projet'!$E$9+1,1))</f>
        <v>233.2883475283553</v>
      </c>
      <c r="T191" s="59">
        <f t="shared" si="142"/>
        <v>211.4485324078031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80.32657807285301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80.32657807285301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-2.8421709430404007E-14</v>
      </c>
      <c r="AJ191" s="13">
        <f>AI191*VLOOKUP('Données projet'!$B$10,Paramètres!$A$1:$I$89,3,0)*VLOOKUP('Données projet'!$B$10,Paramètres!$A$1:$I$89,5,0)</f>
        <v>-2.3942448024172337E-14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206.25389915739601</v>
      </c>
      <c r="AO191" s="59">
        <f t="shared" si="144"/>
        <v>155.24154927193064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38.176611330915016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38.176611330915016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159.2135999999997</v>
      </c>
      <c r="D192" s="11">
        <f t="shared" si="140"/>
        <v>40.665089859977002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1542.9232199717501</v>
      </c>
      <c r="H192" s="67">
        <f t="shared" si="110"/>
        <v>641.45538483945938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4.2632564145606011E-14</v>
      </c>
      <c r="O192" s="13">
        <f>N192*VLOOKUP('Données projet'!$B$9,Paramètres!$A$1:$I$89,3,0)*VLOOKUP('Données projet'!$B$9,Paramètres!$A$1:$I$89,5,0)</f>
        <v>3.8573944038944318E-14</v>
      </c>
      <c r="P192" s="13">
        <f t="shared" si="141"/>
        <v>6.4744291689820149E-13</v>
      </c>
      <c r="Q192" s="20">
        <f t="shared" si="162"/>
        <v>1.1948126994655288E-12</v>
      </c>
      <c r="R192" s="59">
        <f t="shared" si="109"/>
        <v>293.33333333333451</v>
      </c>
      <c r="S192" s="59">
        <f ca="1">AVERAGE(OFFSET($R$3,0,0,'Données projet'!$E$9+1,1))-AVERAGE(OFFSET($H$3,0,0,'Données projet'!$E$9+1,1))</f>
        <v>233.2883475283553</v>
      </c>
      <c r="T192" s="59">
        <f t="shared" si="142"/>
        <v>211.4485324078031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78.751422871219191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78.751422871219191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-2.8421709430404007E-14</v>
      </c>
      <c r="AJ192" s="13">
        <f>AI192*VLOOKUP('Données projet'!$B$10,Paramètres!$A$1:$I$89,3,0)*VLOOKUP('Données projet'!$B$10,Paramètres!$A$1:$I$89,5,0)</f>
        <v>-2.3942448024172337E-14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206.25389915739601</v>
      </c>
      <c r="AO192" s="59">
        <f t="shared" si="144"/>
        <v>155.24154927193064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37.427991268149441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37.427991268149441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160.0559999999997</v>
      </c>
      <c r="D193" s="11">
        <f t="shared" si="140"/>
        <v>40.855146105751388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1550.8930576584296</v>
      </c>
      <c r="H193" s="67">
        <f t="shared" si="110"/>
        <v>643.25357946751637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4.2632564145606011E-14</v>
      </c>
      <c r="O193" s="13">
        <f>N193*VLOOKUP('Données projet'!$B$9,Paramètres!$A$1:$I$89,3,0)*VLOOKUP('Données projet'!$B$9,Paramètres!$A$1:$I$89,5,0)</f>
        <v>3.8573944038944318E-14</v>
      </c>
      <c r="P193" s="13">
        <f t="shared" si="141"/>
        <v>6.4744291689820149E-13</v>
      </c>
      <c r="Q193" s="20">
        <f t="shared" si="162"/>
        <v>1.1948126994655288E-12</v>
      </c>
      <c r="R193" s="59">
        <f t="shared" si="109"/>
        <v>293.33333333333451</v>
      </c>
      <c r="S193" s="59">
        <f ca="1">AVERAGE(OFFSET($R$3,0,0,'Données projet'!$E$9+1,1))-AVERAGE(OFFSET($H$3,0,0,'Données projet'!$E$9+1,1))</f>
        <v>233.2883475283553</v>
      </c>
      <c r="T193" s="59">
        <f t="shared" si="142"/>
        <v>211.4485324078031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77.207155502339603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77.207155502339603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-2.8421709430404007E-14</v>
      </c>
      <c r="AJ193" s="13">
        <f>AI193*VLOOKUP('Données projet'!$B$10,Paramètres!$A$1:$I$89,3,0)*VLOOKUP('Données projet'!$B$10,Paramètres!$A$1:$I$89,5,0)</f>
        <v>-2.3942448024172337E-14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206.25389915739601</v>
      </c>
      <c r="AO193" s="59">
        <f t="shared" si="144"/>
        <v>155.24154927193064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36.694051188201549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36.694051188201549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160.8983999999997</v>
      </c>
      <c r="D194" s="11">
        <f t="shared" si="140"/>
        <v>41.045085952157713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1558.8619968236715</v>
      </c>
      <c r="H194" s="67">
        <f t="shared" si="110"/>
        <v>645.05157136667412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4.2632564145606011E-14</v>
      </c>
      <c r="O194" s="13">
        <f>N194*VLOOKUP('Données projet'!$B$9,Paramètres!$A$1:$I$89,3,0)*VLOOKUP('Données projet'!$B$9,Paramètres!$A$1:$I$89,5,0)</f>
        <v>3.8573944038944318E-14</v>
      </c>
      <c r="P194" s="13">
        <f t="shared" si="141"/>
        <v>6.4744291689820149E-13</v>
      </c>
      <c r="Q194" s="20">
        <f t="shared" si="162"/>
        <v>1.1948126994655288E-12</v>
      </c>
      <c r="R194" s="59">
        <f t="shared" si="109"/>
        <v>293.33333333333451</v>
      </c>
      <c r="S194" s="59">
        <f ca="1">AVERAGE(OFFSET($R$3,0,0,'Données projet'!$E$9+1,1))-AVERAGE(OFFSET($H$3,0,0,'Données projet'!$E$9+1,1))</f>
        <v>233.2883475283553</v>
      </c>
      <c r="T194" s="59">
        <f t="shared" si="142"/>
        <v>211.4485324078031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75.693170274653653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75.693170274653653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-2.8421709430404007E-14</v>
      </c>
      <c r="AJ194" s="13">
        <f>AI194*VLOOKUP('Données projet'!$B$10,Paramètres!$A$1:$I$89,3,0)*VLOOKUP('Données projet'!$B$10,Paramètres!$A$1:$I$89,5,0)</f>
        <v>-2.3942448024172337E-14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206.25389915739601</v>
      </c>
      <c r="AO194" s="59">
        <f t="shared" si="144"/>
        <v>155.24154927193064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35.974503225562188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35.974503225562188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161.74079999999969</v>
      </c>
      <c r="D195" s="11">
        <f t="shared" si="140"/>
        <v>41.234910079352346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1566.8300427178056</v>
      </c>
      <c r="H195" s="67">
        <f t="shared" si="110"/>
        <v>646.84936172153812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4.2632564145606011E-14</v>
      </c>
      <c r="O195" s="13">
        <f>N195*VLOOKUP('Données projet'!$B$9,Paramètres!$A$1:$I$89,3,0)*VLOOKUP('Données projet'!$B$9,Paramètres!$A$1:$I$89,5,0)</f>
        <v>3.8573944038944318E-14</v>
      </c>
      <c r="P195" s="13">
        <f t="shared" si="141"/>
        <v>6.4744291689820149E-13</v>
      </c>
      <c r="Q195" s="20">
        <f t="shared" si="162"/>
        <v>1.1948126994655288E-12</v>
      </c>
      <c r="R195" s="59">
        <f t="shared" ref="R195:R203" si="191">Q195+(I195+J195)*44/12</f>
        <v>293.33333333333451</v>
      </c>
      <c r="S195" s="59">
        <f ca="1">AVERAGE(OFFSET($R$3,0,0,'Données projet'!$E$9+1,1))-AVERAGE(OFFSET($H$3,0,0,'Données projet'!$E$9+1,1))</f>
        <v>233.2883475283553</v>
      </c>
      <c r="T195" s="59">
        <f t="shared" si="142"/>
        <v>211.4485324078031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74.20887337384282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74.20887337384282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-2.8421709430404007E-14</v>
      </c>
      <c r="AJ195" s="13">
        <f>AI195*VLOOKUP('Données projet'!$B$10,Paramètres!$A$1:$I$89,3,0)*VLOOKUP('Données projet'!$B$10,Paramètres!$A$1:$I$89,5,0)</f>
        <v>-2.3942448024172337E-14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206.25389915739601</v>
      </c>
      <c r="AO195" s="59">
        <f t="shared" si="144"/>
        <v>155.24154927193064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35.26906515958926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35.26906515958926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162.58319999999969</v>
      </c>
      <c r="D196" s="11">
        <f t="shared" si="140"/>
        <v>41.424619159996467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1574.7972005333038</v>
      </c>
      <c r="H196" s="67">
        <f t="shared" ref="H196:H203" si="192">(B196+E196+F196)*44/12+(C196+D196)*0.475*44/12</f>
        <v>648.64695170365997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4.2632564145606011E-14</v>
      </c>
      <c r="O196" s="13">
        <f>N196*VLOOKUP('Données projet'!$B$9,Paramètres!$A$1:$I$89,3,0)*VLOOKUP('Données projet'!$B$9,Paramètres!$A$1:$I$89,5,0)</f>
        <v>3.8573944038944318E-14</v>
      </c>
      <c r="P196" s="13">
        <f t="shared" si="141"/>
        <v>6.4744291689820149E-13</v>
      </c>
      <c r="Q196" s="20">
        <f t="shared" si="162"/>
        <v>1.1948126994655288E-12</v>
      </c>
      <c r="R196" s="59">
        <f t="shared" si="191"/>
        <v>293.33333333333451</v>
      </c>
      <c r="S196" s="59">
        <f ca="1">AVERAGE(OFFSET($R$3,0,0,'Données projet'!$E$9+1,1))-AVERAGE(OFFSET($H$3,0,0,'Données projet'!$E$9+1,1))</f>
        <v>233.2883475283553</v>
      </c>
      <c r="T196" s="59">
        <f t="shared" si="142"/>
        <v>211.4485324078031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72.75368262992518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72.75368262992518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-2.8421709430404007E-14</v>
      </c>
      <c r="AJ196" s="13">
        <f>AI196*VLOOKUP('Données projet'!$B$10,Paramètres!$A$1:$I$89,3,0)*VLOOKUP('Données projet'!$B$10,Paramètres!$A$1:$I$89,5,0)</f>
        <v>-2.3942448024172337E-14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206.25389915739601</v>
      </c>
      <c r="AO196" s="59">
        <f t="shared" si="144"/>
        <v>155.24154927193064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34.577460303815329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34.577460303815329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163.42559999999969</v>
      </c>
      <c r="D197" s="11">
        <f t="shared" ref="D197:D203" si="202">IFERROR(EXP(-1.0587+0.8836*LN(C197)+0.284),0)</f>
        <v>41.614213859377095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1582.7634754057156</v>
      </c>
      <c r="H197" s="67">
        <f t="shared" si="192"/>
        <v>650.44434247174786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4.2632564145606011E-14</v>
      </c>
      <c r="O197" s="13">
        <f>N197*VLOOKUP('Données projet'!$B$9,Paramètres!$A$1:$I$89,3,0)*VLOOKUP('Données projet'!$B$9,Paramètres!$A$1:$I$89,5,0)</f>
        <v>3.8573944038944318E-14</v>
      </c>
      <c r="P197" s="13">
        <f t="shared" ref="P197:P203" si="203">EXP(-1.0587+0.8836*LN(O197)+0.284)</f>
        <v>6.4744291689820149E-13</v>
      </c>
      <c r="Q197" s="20">
        <f t="shared" si="162"/>
        <v>1.1948126994655288E-12</v>
      </c>
      <c r="R197" s="59">
        <f t="shared" si="191"/>
        <v>293.33333333333451</v>
      </c>
      <c r="S197" s="59">
        <f ca="1">AVERAGE(OFFSET($R$3,0,0,'Données projet'!$E$9+1,1))-AVERAGE(OFFSET($H$3,0,0,'Données projet'!$E$9+1,1))</f>
        <v>233.2883475283553</v>
      </c>
      <c r="T197" s="59">
        <f t="shared" ref="T197:T203" si="204">$T$3</f>
        <v>211.4485324078031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71.327027288917051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71.327027288917051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-2.8421709430404007E-14</v>
      </c>
      <c r="AJ197" s="13">
        <f>AI197*VLOOKUP('Données projet'!$B$10,Paramètres!$A$1:$I$89,3,0)*VLOOKUP('Données projet'!$B$10,Paramètres!$A$1:$I$89,5,0)</f>
        <v>-2.3942448024172337E-14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206.25389915739601</v>
      </c>
      <c r="AO197" s="59">
        <f t="shared" ref="AO197:AO203" si="205">$AO$3</f>
        <v>155.24154927193064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33.899417397425815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33.899417397425815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164.26799999999969</v>
      </c>
      <c r="D198" s="11">
        <f t="shared" si="202"/>
        <v>41.803694835525583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1590.728872414581</v>
      </c>
      <c r="H198" s="67">
        <f t="shared" si="192"/>
        <v>652.24153517187312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4.2632564145606011E-14</v>
      </c>
      <c r="O198" s="13">
        <f>N198*VLOOKUP('Données projet'!$B$9,Paramètres!$A$1:$I$89,3,0)*VLOOKUP('Données projet'!$B$9,Paramètres!$A$1:$I$89,5,0)</f>
        <v>3.8573944038944318E-14</v>
      </c>
      <c r="P198" s="13">
        <f t="shared" si="203"/>
        <v>6.4744291689820149E-13</v>
      </c>
      <c r="Q198" s="20">
        <f t="shared" si="162"/>
        <v>1.1948126994655288E-12</v>
      </c>
      <c r="R198" s="59">
        <f t="shared" si="191"/>
        <v>293.33333333333451</v>
      </c>
      <c r="S198" s="59">
        <f ca="1">AVERAGE(OFFSET($R$3,0,0,'Données projet'!$E$9+1,1))-AVERAGE(OFFSET($H$3,0,0,'Données projet'!$E$9+1,1))</f>
        <v>233.2883475283553</v>
      </c>
      <c r="T198" s="59">
        <f t="shared" si="204"/>
        <v>211.4485324078031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69.92834778897226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69.92834778897226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-2.8421709430404007E-14</v>
      </c>
      <c r="AJ198" s="13">
        <f>AI198*VLOOKUP('Données projet'!$B$10,Paramètres!$A$1:$I$89,3,0)*VLOOKUP('Données projet'!$B$10,Paramètres!$A$1:$I$89,5,0)</f>
        <v>-2.3942448024172337E-14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206.25389915739601</v>
      </c>
      <c r="AO198" s="59">
        <f t="shared" si="205"/>
        <v>155.24154927193064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33.234670498865263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33.234670498865263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165.11039999999969</v>
      </c>
      <c r="D199" s="11">
        <f t="shared" si="202"/>
        <v>41.993062739333375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1598.6933965843255</v>
      </c>
      <c r="H199" s="67">
        <f t="shared" si="192"/>
        <v>654.03853093767168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4.2632564145606011E-14</v>
      </c>
      <c r="O199" s="13">
        <f>N199*VLOOKUP('Données projet'!$B$9,Paramètres!$A$1:$I$89,3,0)*VLOOKUP('Données projet'!$B$9,Paramètres!$A$1:$I$89,5,0)</f>
        <v>3.8573944038944318E-14</v>
      </c>
      <c r="P199" s="13">
        <f t="shared" si="203"/>
        <v>6.4744291689820149E-13</v>
      </c>
      <c r="Q199" s="20">
        <f t="shared" si="162"/>
        <v>1.1948126994655288E-12</v>
      </c>
      <c r="R199" s="59">
        <f t="shared" si="191"/>
        <v>293.33333333333451</v>
      </c>
      <c r="S199" s="59">
        <f ca="1">AVERAGE(OFFSET($R$3,0,0,'Données projet'!$E$9+1,1))-AVERAGE(OFFSET($H$3,0,0,'Données projet'!$E$9+1,1))</f>
        <v>233.2883475283553</v>
      </c>
      <c r="T199" s="59">
        <f t="shared" si="204"/>
        <v>211.4485324078031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68.557095540911121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68.557095540911121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-2.8421709430404007E-14</v>
      </c>
      <c r="AJ199" s="13">
        <f>AI199*VLOOKUP('Données projet'!$B$10,Paramètres!$A$1:$I$89,3,0)*VLOOKUP('Données projet'!$B$10,Paramètres!$A$1:$I$89,5,0)</f>
        <v>-2.3942448024172337E-14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206.25389915739601</v>
      </c>
      <c r="AO199" s="59">
        <f t="shared" si="205"/>
        <v>155.24154927193064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32.582958881529912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32.582958881529912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165.95279999999968</v>
      </c>
      <c r="D200" s="11">
        <f t="shared" si="202"/>
        <v>42.182318214665749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1606.6570528851369</v>
      </c>
      <c r="H200" s="67">
        <f t="shared" si="192"/>
        <v>655.83533089054231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4.2632564145606011E-14</v>
      </c>
      <c r="O200" s="13">
        <f>N200*VLOOKUP('Données projet'!$B$9,Paramètres!$A$1:$I$89,3,0)*VLOOKUP('Données projet'!$B$9,Paramètres!$A$1:$I$89,5,0)</f>
        <v>3.8573944038944318E-14</v>
      </c>
      <c r="P200" s="13">
        <f t="shared" si="203"/>
        <v>6.4744291689820149E-13</v>
      </c>
      <c r="Q200" s="20">
        <f t="shared" si="162"/>
        <v>1.1948126994655288E-12</v>
      </c>
      <c r="R200" s="59">
        <f t="shared" si="191"/>
        <v>293.33333333333451</v>
      </c>
      <c r="S200" s="59">
        <f ca="1">AVERAGE(OFFSET($R$3,0,0,'Données projet'!$E$9+1,1))-AVERAGE(OFFSET($H$3,0,0,'Données projet'!$E$9+1,1))</f>
        <v>233.2883475283553</v>
      </c>
      <c r="T200" s="59">
        <f t="shared" si="204"/>
        <v>211.4485324078031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67.212732713053171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67.212732713053171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-2.8421709430404007E-14</v>
      </c>
      <c r="AJ200" s="13">
        <f>AI200*VLOOKUP('Données projet'!$B$10,Paramètres!$A$1:$I$89,3,0)*VLOOKUP('Données projet'!$B$10,Paramètres!$A$1:$I$89,5,0)</f>
        <v>-2.3942448024172337E-14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206.25389915739601</v>
      </c>
      <c r="AO200" s="59">
        <f t="shared" si="205"/>
        <v>155.24154927193064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31.944026931505668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31.944026931505668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166.79519999999968</v>
      </c>
      <c r="D201" s="11">
        <f t="shared" si="202"/>
        <v>42.371461898472752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1614.6198462338225</v>
      </c>
      <c r="H201" s="67">
        <f t="shared" si="192"/>
        <v>657.63193613983935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4.2632564145606011E-14</v>
      </c>
      <c r="O201" s="13">
        <f>N201*VLOOKUP('Données projet'!$B$9,Paramètres!$A$1:$I$89,3,0)*VLOOKUP('Données projet'!$B$9,Paramètres!$A$1:$I$89,5,0)</f>
        <v>3.8573944038944318E-14</v>
      </c>
      <c r="P201" s="13">
        <f t="shared" si="203"/>
        <v>6.4744291689820149E-13</v>
      </c>
      <c r="Q201" s="20">
        <f t="shared" si="162"/>
        <v>1.1948126994655288E-12</v>
      </c>
      <c r="R201" s="59">
        <f t="shared" si="191"/>
        <v>293.33333333333451</v>
      </c>
      <c r="S201" s="59">
        <f ca="1">AVERAGE(OFFSET($R$3,0,0,'Données projet'!$E$9+1,1))-AVERAGE(OFFSET($H$3,0,0,'Données projet'!$E$9+1,1))</f>
        <v>233.2883475283553</v>
      </c>
      <c r="T201" s="59">
        <f t="shared" si="204"/>
        <v>211.4485324078031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65.89473202026916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65.89473202026916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-2.8421709430404007E-14</v>
      </c>
      <c r="AJ201" s="13">
        <f>AI201*VLOOKUP('Données projet'!$B$10,Paramètres!$A$1:$I$89,3,0)*VLOOKUP('Données projet'!$B$10,Paramètres!$A$1:$I$89,5,0)</f>
        <v>-2.3942448024172337E-14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206.25389915739601</v>
      </c>
      <c r="AO201" s="59">
        <f t="shared" si="205"/>
        <v>155.24154927193064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31.317624047311391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31.317624047311391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167.63759999999968</v>
      </c>
      <c r="D202" s="11">
        <f t="shared" si="202"/>
        <v>42.560494420897982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1622.5817814946488</v>
      </c>
      <c r="H202" s="67">
        <f t="shared" si="192"/>
        <v>659.42834778306337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4.2632564145606011E-14</v>
      </c>
      <c r="O202" s="13">
        <f>N202*VLOOKUP('Données projet'!$B$9,Paramètres!$A$1:$I$89,3,0)*VLOOKUP('Données projet'!$B$9,Paramètres!$A$1:$I$89,5,0)</f>
        <v>3.8573944038944318E-14</v>
      </c>
      <c r="P202" s="13">
        <f t="shared" si="203"/>
        <v>6.4744291689820149E-13</v>
      </c>
      <c r="Q202" s="20">
        <f t="shared" si="162"/>
        <v>1.1948126994655288E-12</v>
      </c>
      <c r="R202" s="59">
        <f t="shared" si="191"/>
        <v>293.33333333333451</v>
      </c>
      <c r="S202" s="59">
        <f ca="1">AVERAGE(OFFSET($R$3,0,0,'Données projet'!$E$9+1,1))-AVERAGE(OFFSET($H$3,0,0,'Données projet'!$E$9+1,1))</f>
        <v>233.2883475283553</v>
      </c>
      <c r="T202" s="59">
        <f t="shared" si="204"/>
        <v>211.4485324078031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64.602576517169595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64.602576517169595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-2.8421709430404007E-14</v>
      </c>
      <c r="AJ202" s="13">
        <f>AI202*VLOOKUP('Données projet'!$B$10,Paramètres!$A$1:$I$89,3,0)*VLOOKUP('Données projet'!$B$10,Paramètres!$A$1:$I$89,5,0)</f>
        <v>-2.3942448024172337E-14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206.25389915739601</v>
      </c>
      <c r="AO202" s="59">
        <f t="shared" si="205"/>
        <v>155.24154927193064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30.70350454160813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30.70350454160813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168.47999999999968</v>
      </c>
      <c r="D203" s="11">
        <f t="shared" si="202"/>
        <v>42.749416405385304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1630.5428634801649</v>
      </c>
      <c r="H203" s="67">
        <f t="shared" si="192"/>
        <v>661.22456690604554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4.2632564145606011E-14</v>
      </c>
      <c r="O203" s="13">
        <f>N203*VLOOKUP('Données projet'!$B$9,Paramètres!$A$1:$I$89,3,0)*VLOOKUP('Données projet'!$B$9,Paramètres!$A$1:$I$89,5,0)</f>
        <v>3.8573944038944318E-14</v>
      </c>
      <c r="P203" s="13">
        <f t="shared" si="203"/>
        <v>6.4744291689820149E-13</v>
      </c>
      <c r="Q203" s="20">
        <f t="shared" si="162"/>
        <v>1.1948126994655288E-12</v>
      </c>
      <c r="R203" s="59">
        <f t="shared" si="191"/>
        <v>293.33333333333451</v>
      </c>
      <c r="S203" s="59">
        <f ca="1">AVERAGE(OFFSET($R$3,0,0,'Données projet'!$E$9+1,1))-AVERAGE(OFFSET($H$3,0,0,'Données projet'!$E$9+1,1))</f>
        <v>233.2883475283553</v>
      </c>
      <c r="T203" s="59">
        <f t="shared" si="204"/>
        <v>211.4485324078031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63.335759395348788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63.335759395348788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-2.8421709430404007E-14</v>
      </c>
      <c r="AJ203" s="13">
        <f>AI203*VLOOKUP('Données projet'!$B$10,Paramètres!$A$1:$I$89,3,0)*VLOOKUP('Données projet'!$B$10,Paramètres!$A$1:$I$89,5,0)</f>
        <v>-2.3942448024172337E-14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206.25389915739601</v>
      </c>
      <c r="AO203" s="59">
        <f t="shared" si="205"/>
        <v>155.24154927193064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30.101427544835797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30.101427544835797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1.1386942220473621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1.1398946049533631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35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35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35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">
      <c r="A93" s="122" t="s">
        <v>68</v>
      </c>
    </row>
    <row r="94" spans="1:14" x14ac:dyDescent="0.3">
      <c r="A94" s="122" t="s">
        <v>69</v>
      </c>
    </row>
    <row r="95" spans="1:14" x14ac:dyDescent="0.3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C8" sqref="C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1.7084999999999999</v>
      </c>
      <c r="C6" s="147">
        <f ca="1">IF(OR('Données projet'!B9="",'Données projet'!C9="",'Données projet'!C9=0%),0,Calculateur!S3)</f>
        <v>233.2883475283553</v>
      </c>
      <c r="D6" s="147">
        <f>IF(OR('Données projet'!B9="",'Données projet'!C9="",'Données projet'!C9=0%),0,Calculateur!T3)</f>
        <v>211.4485324078031</v>
      </c>
      <c r="E6" s="147">
        <f ca="1">MIN(C6,D6)</f>
        <v>211.4485324078031</v>
      </c>
      <c r="F6" s="147">
        <f ca="1">E6*B6</f>
        <v>361.25981761873157</v>
      </c>
      <c r="G6" s="147">
        <f ca="1">F6*(100%-'Données projet'!$C$24)*(100%-'Données projet'!$C$25)*(100%-'Données projet'!$C$26)*(100%-'Données projet'!$C$27)</f>
        <v>325.13383585685841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325.13383585685841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pédonculé</v>
      </c>
      <c r="B7" s="154">
        <f>'Données projet'!D10</f>
        <v>0.84150000000000003</v>
      </c>
      <c r="C7" s="147">
        <f ca="1">IF(OR('Données projet'!B10="",'Données projet'!C10="",'Données projet'!C10=0%),0,Calculateur!AN3)</f>
        <v>206.25389915739601</v>
      </c>
      <c r="D7" s="147">
        <f>IF(OR('Données projet'!B10="",'Données projet'!C10="",'Données projet'!C10=0%),0,Calculateur!AO3)</f>
        <v>155.24154927193064</v>
      </c>
      <c r="E7" s="147">
        <f t="shared" ref="E7:E15" ca="1" si="0">MIN(C7,D7)</f>
        <v>155.24154927193064</v>
      </c>
      <c r="F7" s="147">
        <f t="shared" ref="F7:F15" ca="1" si="1">E7*B7</f>
        <v>130.63576371232963</v>
      </c>
      <c r="G7" s="147">
        <f ca="1">F7*(100%-'Données projet'!$C$24)*(100%-'Données projet'!$C$25)*(100%-'Données projet'!$C$26)*(100%-'Données projet'!$C$27)</f>
        <v>117.57218734109668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117.57218734109668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491.89558133106118</v>
      </c>
      <c r="G16" s="166">
        <f t="shared" ca="1" si="3"/>
        <v>442.70602319795512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442.70602319795512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pédonculé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8" zoomScale="80" zoomScaleNormal="8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-809.23425575228214</v>
      </c>
      <c r="U10" s="178">
        <f>'Données projet'!D9</f>
        <v>1.7084999999999999</v>
      </c>
      <c r="V10" s="177">
        <f>U10*T10</f>
        <v>-1382.576725952774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pédonculé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-1672.959089999599</v>
      </c>
      <c r="U11" s="178">
        <f>'Données projet'!D10</f>
        <v>0.84150000000000003</v>
      </c>
      <c r="V11" s="177">
        <f t="shared" ref="V11" si="0">U11*T11</f>
        <v>-1407.7950742346625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193</v>
      </c>
      <c r="C17" s="198" t="s">
        <v>193</v>
      </c>
      <c r="D17" s="197" t="s">
        <v>193</v>
      </c>
      <c r="E17" s="193">
        <f>1200*(1.3+0.25+0.75)</f>
        <v>2760</v>
      </c>
      <c r="F17" s="230"/>
      <c r="G17" s="289"/>
      <c r="I17" s="1" t="s">
        <v>312</v>
      </c>
      <c r="J17" s="202"/>
      <c r="K17" s="208"/>
      <c r="L17" s="259" t="s">
        <v>313</v>
      </c>
      <c r="M17" s="261"/>
      <c r="N17" s="175">
        <f>VLOOKUP(N16,Calculateur!$A$2:$H$153,3,0)/VLOOKUP('Scénario référence'!$G$15,Paramètres!A1:I89,3,0)/VLOOKUP('Scénario référence'!$G$15,Paramètres!A1:I89,5,0)</f>
        <v>49.999999999999979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I18" s="1" t="s">
        <v>314</v>
      </c>
      <c r="J18" s="202"/>
      <c r="K18" s="208"/>
      <c r="L18" s="259" t="s">
        <v>308</v>
      </c>
      <c r="M18" s="261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193</v>
      </c>
      <c r="C19" s="198" t="s">
        <v>193</v>
      </c>
      <c r="D19" s="197" t="s">
        <v>193</v>
      </c>
      <c r="E19" s="193">
        <f>1200*(1.3+0.25+0.75)*0.15</f>
        <v>414</v>
      </c>
      <c r="F19" s="230"/>
      <c r="G19" s="289"/>
      <c r="H19" s="212" t="s">
        <v>72</v>
      </c>
      <c r="I19" s="212" t="s">
        <v>315</v>
      </c>
      <c r="J19" s="93"/>
      <c r="K19" s="173"/>
      <c r="L19" s="286" t="s">
        <v>316</v>
      </c>
      <c r="M19" s="287"/>
      <c r="N19" s="179">
        <f>N17*N18</f>
        <v>249.99999999999989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f>(800+0.08*18058.5+360+297.5+297.5+507.5+241.5)/'Données projet'!C5+60+1300+(1200*1.45)</f>
        <v>4648.5019607843142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2</v>
      </c>
      <c r="I21" s="191">
        <f>20+1200*0.3</f>
        <v>380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3</v>
      </c>
      <c r="I22" s="191">
        <f>20+1200*0.3</f>
        <v>380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40</v>
      </c>
      <c r="B23" s="181">
        <f>'Données projet'!D36</f>
        <v>84.13</v>
      </c>
      <c r="C23" s="193">
        <v>58</v>
      </c>
      <c r="D23" s="182">
        <f>B23*C23</f>
        <v>4879.54</v>
      </c>
      <c r="E23" s="193"/>
      <c r="F23" s="230"/>
      <c r="H23" s="190">
        <v>4</v>
      </c>
      <c r="I23" s="191">
        <v>20</v>
      </c>
      <c r="K23" s="208"/>
      <c r="L23" s="288" t="s">
        <v>317</v>
      </c>
      <c r="M23" s="288"/>
      <c r="N23" s="288"/>
      <c r="O23" s="23"/>
      <c r="P23" s="23"/>
      <c r="Q23" s="234"/>
      <c r="R23" s="23"/>
      <c r="S23" s="36" t="s">
        <v>318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-16739.910590232244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47</v>
      </c>
      <c r="B24" s="181">
        <f>'Données projet'!D37</f>
        <v>43</v>
      </c>
      <c r="C24" s="193">
        <v>58</v>
      </c>
      <c r="D24" s="182">
        <f t="shared" ref="D24:D42" si="2">B24*C24</f>
        <v>2494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319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70.577401853103211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55</v>
      </c>
      <c r="B25" s="181">
        <f>'Données projet'!D38</f>
        <v>50.03</v>
      </c>
      <c r="C25" s="193">
        <v>58</v>
      </c>
      <c r="D25" s="182">
        <f t="shared" si="2"/>
        <v>2901.7400000000002</v>
      </c>
      <c r="E25" s="193"/>
      <c r="F25" s="233"/>
      <c r="H25" s="190">
        <v>6</v>
      </c>
      <c r="I25" s="191">
        <v>20</v>
      </c>
      <c r="K25" s="208"/>
      <c r="L25" s="130" t="s">
        <v>320</v>
      </c>
      <c r="M25" s="130"/>
      <c r="N25" s="130"/>
      <c r="O25" s="130"/>
      <c r="P25" s="192">
        <v>0</v>
      </c>
      <c r="Q25" s="234"/>
      <c r="R25" s="23"/>
      <c r="S25" s="186" t="s">
        <v>321</v>
      </c>
      <c r="T25" s="303">
        <f ca="1">T23-T24</f>
        <v>-16810.487992085349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63</v>
      </c>
      <c r="B26" s="181">
        <f>'Données projet'!D39</f>
        <v>45.14</v>
      </c>
      <c r="C26" s="193">
        <v>106</v>
      </c>
      <c r="D26" s="182">
        <f t="shared" si="2"/>
        <v>4784.84</v>
      </c>
      <c r="E26" s="193"/>
      <c r="F26" s="233"/>
      <c r="G26" s="229"/>
      <c r="H26" s="190">
        <v>7</v>
      </c>
      <c r="I26" s="191">
        <v>20</v>
      </c>
      <c r="K26" s="208"/>
      <c r="L26" s="290" t="s">
        <v>322</v>
      </c>
      <c r="M26" s="291"/>
      <c r="N26" s="291"/>
      <c r="O26" s="291"/>
      <c r="P26" s="292"/>
      <c r="Q26" s="234"/>
      <c r="R26" s="23"/>
      <c r="S26" s="186" t="s">
        <v>323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71</v>
      </c>
      <c r="B27" s="181">
        <f>'Données projet'!D40</f>
        <v>41.9</v>
      </c>
      <c r="C27" s="193">
        <v>106</v>
      </c>
      <c r="D27" s="182">
        <f t="shared" si="2"/>
        <v>4441.3999999999996</v>
      </c>
      <c r="E27" s="193"/>
      <c r="F27" s="233"/>
      <c r="G27" s="229"/>
      <c r="H27" s="190">
        <v>8</v>
      </c>
      <c r="I27" s="191">
        <v>20</v>
      </c>
      <c r="K27" s="208"/>
      <c r="L27" s="293"/>
      <c r="M27" s="294"/>
      <c r="N27" s="294"/>
      <c r="O27" s="294"/>
      <c r="P27" s="295"/>
      <c r="Q27" s="234"/>
      <c r="R27" s="23"/>
      <c r="S27" s="299" t="s">
        <v>324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79</v>
      </c>
      <c r="B28" s="181">
        <f>'Données projet'!D41</f>
        <v>39.520000000000003</v>
      </c>
      <c r="C28" s="193">
        <v>106</v>
      </c>
      <c r="D28" s="182">
        <f t="shared" si="2"/>
        <v>4189.12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88</v>
      </c>
      <c r="B29" s="181">
        <f>'Données projet'!D42</f>
        <v>40.659999999999997</v>
      </c>
      <c r="C29" s="193">
        <v>106</v>
      </c>
      <c r="D29" s="182">
        <f t="shared" si="2"/>
        <v>4309.96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97</v>
      </c>
      <c r="B30" s="181">
        <f>'Données projet'!D43</f>
        <v>44.17</v>
      </c>
      <c r="C30" s="193">
        <v>106</v>
      </c>
      <c r="D30" s="182">
        <f t="shared" si="2"/>
        <v>4682.0200000000004</v>
      </c>
      <c r="E30" s="193"/>
      <c r="F30" s="233"/>
      <c r="G30" s="203"/>
      <c r="H30" s="190">
        <v>11</v>
      </c>
      <c r="I30" s="191">
        <v>20</v>
      </c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107</v>
      </c>
      <c r="B31" s="181">
        <f>'Données projet'!D44</f>
        <v>40.71</v>
      </c>
      <c r="C31" s="193">
        <v>106</v>
      </c>
      <c r="D31" s="182">
        <f t="shared" si="2"/>
        <v>4315.26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117</v>
      </c>
      <c r="B32" s="181">
        <f>'Données projet'!D45</f>
        <v>42.89</v>
      </c>
      <c r="C32" s="193">
        <v>106</v>
      </c>
      <c r="D32" s="182">
        <f t="shared" si="2"/>
        <v>4546.34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129</v>
      </c>
      <c r="B33" s="181">
        <f>'Données projet'!D46</f>
        <v>54</v>
      </c>
      <c r="C33" s="193">
        <v>106</v>
      </c>
      <c r="D33" s="182">
        <f t="shared" si="2"/>
        <v>5724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141</v>
      </c>
      <c r="B34" s="181">
        <f>'Données projet'!D47</f>
        <v>56.79</v>
      </c>
      <c r="C34" s="193">
        <v>106</v>
      </c>
      <c r="D34" s="182">
        <f t="shared" si="2"/>
        <v>6019.74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153</v>
      </c>
      <c r="B35" s="181">
        <f>'Données projet'!D48</f>
        <v>186.83</v>
      </c>
      <c r="C35" s="193">
        <v>106</v>
      </c>
      <c r="D35" s="182">
        <f t="shared" si="2"/>
        <v>19803.98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157</v>
      </c>
      <c r="B36" s="181">
        <f>'Données projet'!D49</f>
        <v>70.989999999999995</v>
      </c>
      <c r="C36" s="193">
        <v>106</v>
      </c>
      <c r="D36" s="182">
        <f t="shared" si="2"/>
        <v>7524.94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161</v>
      </c>
      <c r="B37" s="181">
        <f>'Données projet'!D50</f>
        <v>47.17</v>
      </c>
      <c r="C37" s="193">
        <v>106</v>
      </c>
      <c r="D37" s="182">
        <f t="shared" si="2"/>
        <v>5000.0200000000004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165</v>
      </c>
      <c r="B38" s="181">
        <f>'Données projet'!D51</f>
        <v>99.64</v>
      </c>
      <c r="C38" s="193">
        <v>106</v>
      </c>
      <c r="D38" s="182">
        <f t="shared" si="2"/>
        <v>10561.84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17</v>
      </c>
      <c r="B45" s="174" t="str">
        <f>IF('Données projet'!$B$10="","",'Données projet'!$B$10)</f>
        <v>Chêne pédonculé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193</v>
      </c>
      <c r="C48" s="198" t="s">
        <v>193</v>
      </c>
      <c r="D48" s="197" t="s">
        <v>193</v>
      </c>
      <c r="E48" s="193">
        <f>1200*(1.17+0.25+0.75)</f>
        <v>2604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193</v>
      </c>
      <c r="C50" s="198" t="s">
        <v>193</v>
      </c>
      <c r="D50" s="197" t="s">
        <v>193</v>
      </c>
      <c r="E50" s="193">
        <f>1200*(1.17+0.25+0.75)*0.15</f>
        <v>390.59999999999997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38</v>
      </c>
      <c r="B54" s="181">
        <f>'Données projet'!D62</f>
        <v>69.08</v>
      </c>
      <c r="C54" s="191">
        <v>5</v>
      </c>
      <c r="D54" s="179">
        <f>B54*C54</f>
        <v>345.4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45</v>
      </c>
      <c r="B55" s="181">
        <f>'Données projet'!D63</f>
        <v>39.119999999999997</v>
      </c>
      <c r="C55" s="191">
        <v>54.5</v>
      </c>
      <c r="D55" s="179">
        <f t="shared" ref="D55:D73" si="4">B55*C55</f>
        <v>2132.04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52</v>
      </c>
      <c r="B56" s="181">
        <f>'Données projet'!D64</f>
        <v>40.9</v>
      </c>
      <c r="C56" s="191">
        <v>54.5</v>
      </c>
      <c r="D56" s="179">
        <f t="shared" si="4"/>
        <v>2229.0499999999997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59</v>
      </c>
      <c r="B57" s="181">
        <f>'Données projet'!D65</f>
        <v>38.119999999999997</v>
      </c>
      <c r="C57" s="191">
        <v>54.5</v>
      </c>
      <c r="D57" s="179">
        <f t="shared" si="4"/>
        <v>2077.54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67</v>
      </c>
      <c r="B58" s="181">
        <f>'Données projet'!D66</f>
        <v>38.229999999999997</v>
      </c>
      <c r="C58" s="191">
        <v>104</v>
      </c>
      <c r="D58" s="179">
        <f t="shared" si="4"/>
        <v>3975.9199999999996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75</v>
      </c>
      <c r="B59" s="181">
        <f>'Données projet'!D67</f>
        <v>38.909999999999997</v>
      </c>
      <c r="C59" s="191">
        <v>104</v>
      </c>
      <c r="D59" s="179">
        <f t="shared" si="4"/>
        <v>4046.6399999999994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83</v>
      </c>
      <c r="B60" s="181">
        <f>'Données projet'!D68</f>
        <v>44.22</v>
      </c>
      <c r="C60" s="191">
        <v>104</v>
      </c>
      <c r="D60" s="179">
        <f t="shared" si="4"/>
        <v>4598.88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93</v>
      </c>
      <c r="B61" s="181">
        <f>'Données projet'!D69</f>
        <v>59.26</v>
      </c>
      <c r="C61" s="191">
        <v>104</v>
      </c>
      <c r="D61" s="179">
        <f t="shared" si="4"/>
        <v>6163.04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103</v>
      </c>
      <c r="B62" s="181">
        <f>'Données projet'!D70</f>
        <v>58.98</v>
      </c>
      <c r="C62" s="191">
        <v>104</v>
      </c>
      <c r="D62" s="179">
        <f t="shared" si="4"/>
        <v>6133.92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113</v>
      </c>
      <c r="B63" s="181">
        <f>'Données projet'!D71</f>
        <v>59.52</v>
      </c>
      <c r="C63" s="191">
        <v>104</v>
      </c>
      <c r="D63" s="179">
        <f t="shared" si="4"/>
        <v>6190.08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123</v>
      </c>
      <c r="B64" s="181">
        <f>'Données projet'!D72</f>
        <v>175.3</v>
      </c>
      <c r="C64" s="191">
        <v>104</v>
      </c>
      <c r="D64" s="179">
        <f t="shared" si="4"/>
        <v>18231.2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125</v>
      </c>
      <c r="B65" s="181">
        <f>'Données projet'!D73</f>
        <v>60.7</v>
      </c>
      <c r="C65" s="191">
        <v>104</v>
      </c>
      <c r="D65" s="179">
        <f t="shared" si="4"/>
        <v>6312.8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127</v>
      </c>
      <c r="B66" s="181">
        <f>'Données projet'!D74</f>
        <v>39.56</v>
      </c>
      <c r="C66" s="191">
        <v>104</v>
      </c>
      <c r="D66" s="179">
        <f t="shared" si="4"/>
        <v>4114.24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130</v>
      </c>
      <c r="B67" s="181">
        <f>'Données projet'!D75</f>
        <v>96.57</v>
      </c>
      <c r="C67" s="191">
        <v>104</v>
      </c>
      <c r="D67" s="179">
        <f t="shared" si="4"/>
        <v>10043.279999999999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18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>
        <v>61</v>
      </c>
      <c r="I80" s="191">
        <v>20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>
        <v>62</v>
      </c>
      <c r="I81" s="191">
        <v>20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>
        <v>63</v>
      </c>
      <c r="I82" s="191">
        <v>20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>
        <v>64</v>
      </c>
      <c r="I83" s="191">
        <v>20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>
        <v>65</v>
      </c>
      <c r="I84" s="191">
        <v>20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>
        <v>66</v>
      </c>
      <c r="I85" s="191">
        <v>20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>
        <v>67</v>
      </c>
      <c r="I86" s="191">
        <v>20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>
        <v>68</v>
      </c>
      <c r="I87" s="191">
        <v>20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>
        <v>69</v>
      </c>
      <c r="I88" s="191">
        <v>20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>
        <v>70</v>
      </c>
      <c r="I89" s="191">
        <v>20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>
        <v>71</v>
      </c>
      <c r="I90" s="191">
        <v>20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>
        <v>72</v>
      </c>
      <c r="I91" s="191">
        <v>20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>
        <v>73</v>
      </c>
      <c r="I92" s="191">
        <v>20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>
        <v>74</v>
      </c>
      <c r="I93" s="191">
        <v>20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>
        <v>75</v>
      </c>
      <c r="I94" s="191">
        <v>20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>
        <v>76</v>
      </c>
      <c r="I95" s="191">
        <v>20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>
        <v>77</v>
      </c>
      <c r="I96" s="191">
        <v>20</v>
      </c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>
        <v>78</v>
      </c>
      <c r="I97" s="191">
        <v>20</v>
      </c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>
        <v>79</v>
      </c>
      <c r="I98" s="191">
        <v>20</v>
      </c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>
        <v>80</v>
      </c>
      <c r="I99" s="191">
        <v>20</v>
      </c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>
        <v>81</v>
      </c>
      <c r="I100" s="191">
        <v>20</v>
      </c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>
        <v>82</v>
      </c>
      <c r="I101" s="191">
        <v>20</v>
      </c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>
        <v>83</v>
      </c>
      <c r="I102" s="191">
        <v>20</v>
      </c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84</v>
      </c>
      <c r="I103" s="191">
        <v>20</v>
      </c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85</v>
      </c>
      <c r="I104" s="191">
        <v>20</v>
      </c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>
        <v>86</v>
      </c>
      <c r="I105" s="191">
        <v>20</v>
      </c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>
        <v>87</v>
      </c>
      <c r="I106" s="191">
        <v>20</v>
      </c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>
        <v>88</v>
      </c>
      <c r="I107" s="191">
        <v>20</v>
      </c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>
        <v>89</v>
      </c>
      <c r="I108" s="191">
        <v>20</v>
      </c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>
        <v>90</v>
      </c>
      <c r="I109" s="191">
        <v>20</v>
      </c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>
        <v>91</v>
      </c>
      <c r="I110" s="191">
        <v>20</v>
      </c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>
        <v>92</v>
      </c>
      <c r="I111" s="191">
        <v>20</v>
      </c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>
        <v>93</v>
      </c>
      <c r="I112" s="191">
        <v>20</v>
      </c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>
        <v>94</v>
      </c>
      <c r="I113" s="191">
        <v>20</v>
      </c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>
        <v>95</v>
      </c>
      <c r="I114" s="191">
        <v>20</v>
      </c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>
        <v>96</v>
      </c>
      <c r="I115" s="191">
        <v>20</v>
      </c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>
        <v>97</v>
      </c>
      <c r="I116" s="191">
        <v>20</v>
      </c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>
        <v>98</v>
      </c>
      <c r="I117" s="191">
        <v>20</v>
      </c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>
        <v>99</v>
      </c>
      <c r="I118" s="191">
        <v>20</v>
      </c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schemas.microsoft.com/office/2006/metadata/properties"/>
    <ds:schemaRef ds:uri="http://schemas.microsoft.com/office/infopath/2007/PartnerControls"/>
    <ds:schemaRef ds:uri="37d24cdf-bbc6-4946-8747-982d14624cd4"/>
    <ds:schemaRef ds:uri="4a0a9159-faee-4929-bc18-6e0874945fe3"/>
  </ds:schemaRefs>
</ds:datastoreItem>
</file>

<file path=customXml/itemProps2.xml><?xml version="1.0" encoding="utf-8"?>
<ds:datastoreItem xmlns:ds="http://schemas.openxmlformats.org/officeDocument/2006/customXml" ds:itemID="{99458169-A5CE-4F6D-BF0D-F7C2C42B9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Augustin Le Corre</cp:lastModifiedBy>
  <cp:revision/>
  <dcterms:created xsi:type="dcterms:W3CDTF">2021-02-01T08:22:39Z</dcterms:created>
  <dcterms:modified xsi:type="dcterms:W3CDTF">2024-02-16T10:49:48Z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