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"/>
    </mc:Choice>
  </mc:AlternateContent>
  <xr:revisionPtr revIDLastSave="0" documentId="8_{DB60196E-6DBE-4CCB-AA4F-06CD26125680}" xr6:coauthVersionLast="47" xr6:coauthVersionMax="47" xr10:uidLastSave="{00000000-0000-0000-0000-000000000000}"/>
  <bookViews>
    <workbookView xWindow="-12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V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H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W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X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G155" i="2" l="1"/>
  <c r="EX155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I156" i="2" l="1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B157" i="2"/>
  <c r="HH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I160" i="2"/>
  <c r="HH160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A161" i="2"/>
  <c r="EB161" i="2"/>
  <c r="EX161" i="2"/>
  <c r="AB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HG163" i="2"/>
  <c r="HI163" i="2"/>
  <c r="EB163" i="2"/>
  <c r="EV163" i="2"/>
  <c r="EY163" i="2" s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HH164" i="2" l="1"/>
  <c r="DI163" i="2"/>
  <c r="HG164" i="2"/>
  <c r="FS164" i="2"/>
  <c r="EA164" i="2"/>
  <c r="EV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G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DG168" i="2"/>
  <c r="EV168" i="2"/>
  <c r="EY168" i="2" s="1"/>
  <c r="HH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C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FS175" i="2" l="1"/>
  <c r="EB175" i="2"/>
  <c r="AA175" i="2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8" i="2" s="1"/>
  <c r="HH178" i="2"/>
  <c r="HG178" i="2"/>
  <c r="FS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EV179" i="2"/>
  <c r="EA179" i="2"/>
  <c r="ED179" i="2" s="1"/>
  <c r="HG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FR186" i="2"/>
  <c r="EW186" i="2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H187" i="2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HH190" i="2" l="1"/>
  <c r="EV190" i="2"/>
  <c r="HG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V192" i="2"/>
  <c r="HH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EA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B201" i="2" l="1"/>
  <c r="FS201" i="2"/>
  <c r="HG201" i="2"/>
  <c r="EA201" i="2"/>
  <c r="ED201" i="2" s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EW202" i="2"/>
  <c r="FZ6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62" i="2" a="1"/>
  <c r="FY62" i="2" s="1"/>
  <c r="FY149" i="2" a="1"/>
  <c r="FY149" i="2" s="1"/>
  <c r="FY172" i="2" a="1"/>
  <c r="FY172" i="2" s="1"/>
  <c r="BC34" i="2" a="1"/>
  <c r="BC34" i="2" s="1"/>
  <c r="BC47" i="2" a="1"/>
  <c r="BC47" i="2" s="1"/>
  <c r="BC82" i="2" a="1"/>
  <c r="BC82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CS77" i="2" a="1"/>
  <c r="CS77" i="2" s="1"/>
  <c r="CS161" i="2" a="1"/>
  <c r="CS161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32" i="2" a="1"/>
  <c r="BC32" i="2" s="1"/>
  <c r="BC84" i="2" a="1"/>
  <c r="BC84" i="2" s="1"/>
  <c r="BC185" i="2" a="1"/>
  <c r="BC185" i="2" s="1"/>
  <c r="BC7" i="2" a="1"/>
  <c r="BC7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39" i="2" a="1"/>
  <c r="EI139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I113" i="2" l="1" a="1"/>
  <c r="EI113" i="2" s="1"/>
  <c r="EI162" i="2" a="1"/>
  <c r="EI162" i="2" s="1"/>
  <c r="EI165" i="2" a="1"/>
  <c r="EI165" i="2" s="1"/>
  <c r="EI153" i="2" a="1"/>
  <c r="EI153" i="2" s="1"/>
  <c r="EI87" i="2" a="1"/>
  <c r="EI87" i="2" s="1"/>
  <c r="EI67" i="2" a="1"/>
  <c r="EI67" i="2" s="1"/>
  <c r="EI128" i="2" a="1"/>
  <c r="EI128" i="2" s="1"/>
  <c r="EI71" i="2" a="1"/>
  <c r="EI71" i="2" s="1"/>
  <c r="EI109" i="2" a="1"/>
  <c r="EI109" i="2" s="1"/>
  <c r="EI142" i="2" a="1"/>
  <c r="EI142" i="2" s="1"/>
  <c r="EI150" i="2" a="1"/>
  <c r="EI150" i="2" s="1"/>
  <c r="EI166" i="2" a="1"/>
  <c r="EI166" i="2" s="1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EI178" i="2" a="1"/>
  <c r="EI178" i="2" s="1"/>
  <c r="EI29" i="2" a="1"/>
  <c r="EI29" i="2" s="1"/>
  <c r="EI198" i="2" a="1"/>
  <c r="EI198" i="2" s="1"/>
  <c r="EI35" i="2" a="1"/>
  <c r="EI35" i="2" s="1"/>
  <c r="EI16" i="2" a="1"/>
  <c r="EI16" i="2" s="1"/>
  <c r="EI34" i="2" a="1"/>
  <c r="EI34" i="2" s="1"/>
  <c r="EI36" i="2" a="1"/>
  <c r="EI36" i="2" s="1"/>
  <c r="EI195" i="2" a="1"/>
  <c r="EI195" i="2" s="1"/>
  <c r="EI145" i="2" a="1"/>
  <c r="EI145" i="2" s="1"/>
  <c r="EI106" i="2" a="1"/>
  <c r="EI106" i="2" s="1"/>
  <c r="BC83" i="2" a="1"/>
  <c r="BC83" i="2" s="1"/>
  <c r="BC143" i="2" a="1"/>
  <c r="BC143" i="2" s="1"/>
  <c r="BC164" i="2" a="1"/>
  <c r="BC164" i="2" s="1"/>
  <c r="BC114" i="2" a="1"/>
  <c r="BC114" i="2" s="1"/>
  <c r="BC68" i="2" a="1"/>
  <c r="BC68" i="2" s="1"/>
  <c r="BC151" i="2" a="1"/>
  <c r="BC151" i="2" s="1"/>
  <c r="BC31" i="2" a="1"/>
  <c r="BC31" i="2" s="1"/>
  <c r="BC192" i="2" a="1"/>
  <c r="BC192" i="2" s="1"/>
  <c r="BC117" i="2" a="1"/>
  <c r="BC117" i="2" s="1"/>
  <c r="BC126" i="2" a="1"/>
  <c r="BC126" i="2" s="1"/>
  <c r="BC58" i="2" a="1"/>
  <c r="BC58" i="2" s="1"/>
  <c r="AH163" i="2" a="1"/>
  <c r="AH163" i="2" s="1"/>
  <c r="AH151" i="2" a="1"/>
  <c r="AH151" i="2" s="1"/>
  <c r="CS129" i="2" a="1"/>
  <c r="CS129" i="2" s="1"/>
  <c r="FD59" i="2" a="1"/>
  <c r="FD59" i="2" s="1"/>
  <c r="FY104" i="2" a="1"/>
  <c r="FY104" i="2" s="1"/>
  <c r="FY24" i="2" a="1"/>
  <c r="FY24" i="2" s="1"/>
  <c r="FY190" i="2" a="1"/>
  <c r="FY190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AH62" i="2" a="1"/>
  <c r="AH62" i="2" s="1"/>
  <c r="CS137" i="2" a="1"/>
  <c r="CS137" i="2" s="1"/>
  <c r="CS52" i="2" a="1"/>
  <c r="CS52" i="2" s="1"/>
  <c r="FD144" i="2" a="1"/>
  <c r="FD144" i="2" s="1"/>
  <c r="FY34" i="2" a="1"/>
  <c r="FY34" i="2" s="1"/>
  <c r="FY124" i="2" a="1"/>
  <c r="FY124" i="2" s="1"/>
  <c r="FY72" i="2" a="1"/>
  <c r="FY7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05" i="2" a="1"/>
  <c r="CS105" i="2" s="1"/>
  <c r="AH166" i="2" a="1"/>
  <c r="AH166" i="2" s="1"/>
  <c r="CS66" i="2" a="1"/>
  <c r="CS66" i="2" s="1"/>
  <c r="FD21" i="2" a="1"/>
  <c r="FD21" i="2" s="1"/>
  <c r="FY164" i="2" a="1"/>
  <c r="FY164" i="2" s="1"/>
  <c r="FY169" i="2" a="1"/>
  <c r="FY169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<sst xmlns="http://schemas.openxmlformats.org/spreadsheetml/2006/main" count="1172" uniqueCount="324">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</sst>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2.0575379614796372</c:v>
                </c:pt>
                <c:pt idx="2">
                  <c:v>2.9133398068911021</c:v>
                </c:pt>
                <c:pt idx="3">
                  <c:v>4.1266638689145365</c:v>
                </c:pt>
                <c:pt idx="4">
                  <c:v>5.8474843900153717</c:v>
                </c:pt>
                <c:pt idx="5">
                  <c:v>8.2889276698844174</c:v>
                </c:pt>
                <c:pt idx="6">
                  <c:v>11.753958229926276</c:v>
                </c:pt>
                <c:pt idx="7">
                  <c:v>16.673378126901387</c:v>
                </c:pt>
                <c:pt idx="8">
                  <c:v>23.659949504836316</c:v>
                </c:pt>
                <c:pt idx="9">
                  <c:v>33.585501037747001</c:v>
                </c:pt>
                <c:pt idx="10">
                  <c:v>47.690805729373977</c:v>
                </c:pt>
                <c:pt idx="11">
                  <c:v>73.57851915026562</c:v>
                </c:pt>
                <c:pt idx="12">
                  <c:v>99.229515890127743</c:v>
                </c:pt>
                <c:pt idx="13">
                  <c:v>124.7146504874306</c:v>
                </c:pt>
                <c:pt idx="14">
                  <c:v>150.07284963801882</c:v>
                </c:pt>
                <c:pt idx="15">
                  <c:v>175.32866141582917</c:v>
                </c:pt>
                <c:pt idx="16">
                  <c:v>149.34289291982446</c:v>
                </c:pt>
                <c:pt idx="17">
                  <c:v>181.6287079510835</c:v>
                </c:pt>
                <c:pt idx="18">
                  <c:v>213.77986970233792</c:v>
                </c:pt>
                <c:pt idx="19">
                  <c:v>245.81951201509912</c:v>
                </c:pt>
                <c:pt idx="20">
                  <c:v>277.76422078501889</c:v>
                </c:pt>
                <c:pt idx="21">
                  <c:v>221.98031532565332</c:v>
                </c:pt>
                <c:pt idx="22">
                  <c:v>258.80021288721645</c:v>
                </c:pt>
                <c:pt idx="23">
                  <c:v>295.50158284477192</c:v>
                </c:pt>
                <c:pt idx="24">
                  <c:v>332.10121351633137</c:v>
                </c:pt>
                <c:pt idx="25">
                  <c:v>368.61188489876849</c:v>
                </c:pt>
                <c:pt idx="26">
                  <c:v>315.12883381541212</c:v>
                </c:pt>
                <c:pt idx="27">
                  <c:v>353.58815776293591</c:v>
                </c:pt>
                <c:pt idx="28">
                  <c:v>391.9557970663318</c:v>
                </c:pt>
                <c:pt idx="29">
                  <c:v>430.24197662191642</c:v>
                </c:pt>
                <c:pt idx="30">
                  <c:v>468.45495339184208</c:v>
                </c:pt>
                <c:pt idx="31">
                  <c:v>414.08078566089245</c:v>
                </c:pt>
                <c:pt idx="32">
                  <c:v>451.13718003084023</c:v>
                </c:pt>
                <c:pt idx="33">
                  <c:v>488.12848932410321</c:v>
                </c:pt>
                <c:pt idx="34">
                  <c:v>525.06033086226023</c:v>
                </c:pt>
                <c:pt idx="35">
                  <c:v>561.93746814735709</c:v>
                </c:pt>
                <c:pt idx="36">
                  <c:v>505.18103819748262</c:v>
                </c:pt>
                <c:pt idx="37">
                  <c:v>539.48651121552155</c:v>
                </c:pt>
                <c:pt idx="38">
                  <c:v>573.74617221143433</c:v>
                </c:pt>
                <c:pt idx="39">
                  <c:v>607.96313661229726</c:v>
                </c:pt>
                <c:pt idx="40">
                  <c:v>642.1401410729178</c:v>
                </c:pt>
                <c:pt idx="41">
                  <c:v>582.9534332712168</c:v>
                </c:pt>
                <c:pt idx="42">
                  <c:v>614.56586809132807</c:v>
                </c:pt>
                <c:pt idx="43">
                  <c:v>646.14459791807587</c:v>
                </c:pt>
                <c:pt idx="44">
                  <c:v>677.6914989037457</c:v>
                </c:pt>
                <c:pt idx="45">
                  <c:v>709.20825855698513</c:v>
                </c:pt>
                <c:pt idx="46">
                  <c:v>648.49992135083914</c:v>
                </c:pt>
                <c:pt idx="47">
                  <c:v>677.22087519835145</c:v>
                </c:pt>
                <c:pt idx="48">
                  <c:v>705.91682651099427</c:v>
                </c:pt>
                <c:pt idx="49">
                  <c:v>734.58893303330581</c:v>
                </c:pt>
                <c:pt idx="50">
                  <c:v>763.23825490354545</c:v>
                </c:pt>
                <c:pt idx="51">
                  <c:v>716.73036198832654</c:v>
                </c:pt>
                <c:pt idx="52">
                  <c:v>743.0451557011271</c:v>
                </c:pt>
                <c:pt idx="53">
                  <c:v>769.34099718727805</c:v>
                </c:pt>
                <c:pt idx="54">
                  <c:v>795.61862440448965</c:v>
                </c:pt>
                <c:pt idx="55">
                  <c:v>821.87872266404338</c:v>
                </c:pt>
                <c:pt idx="56">
                  <c:v>783.88974646873021</c:v>
                </c:pt>
                <c:pt idx="57">
                  <c:v>808.04742277700814</c:v>
                </c:pt>
                <c:pt idx="58">
                  <c:v>832.19053465822856</c:v>
                </c:pt>
                <c:pt idx="59">
                  <c:v>856.31956350618145</c:v>
                </c:pt>
                <c:pt idx="60">
                  <c:v>880.43496141445814</c:v>
                </c:pt>
                <c:pt idx="61">
                  <c:v>845.77945750420213</c:v>
                </c:pt>
                <c:pt idx="62">
                  <c:v>867.32534176599859</c:v>
                </c:pt>
                <c:pt idx="63">
                  <c:v>888.86050881013819</c:v>
                </c:pt>
                <c:pt idx="64">
                  <c:v>910.38525449108658</c:v>
                </c:pt>
                <c:pt idx="65">
                  <c:v>931.89985955264456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1.5201107871777362</c:v>
                </c:pt>
                <c:pt idx="2">
                  <c:v>1.992573229563436</c:v>
                </c:pt>
                <c:pt idx="3">
                  <c:v>2.6124920095399164</c:v>
                </c:pt>
                <c:pt idx="4">
                  <c:v>3.426068783173843</c:v>
                </c:pt>
                <c:pt idx="5">
                  <c:v>4.494034257448285</c:v>
                </c:pt>
                <c:pt idx="6">
                  <c:v>5.896232636390625</c:v>
                </c:pt>
                <c:pt idx="7">
                  <c:v>7.737657142654716</c:v>
                </c:pt>
                <c:pt idx="8">
                  <c:v>10.15639722274914</c:v>
                </c:pt>
                <c:pt idx="9">
                  <c:v>13.334104632710369</c:v>
                </c:pt>
                <c:pt idx="10">
                  <c:v>17.509778951164108</c:v>
                </c:pt>
                <c:pt idx="11">
                  <c:v>22.997928126854415</c:v>
                </c:pt>
                <c:pt idx="12">
                  <c:v>30.212496174014731</c:v>
                </c:pt>
                <c:pt idx="13">
                  <c:v>39.698394141307396</c:v>
                </c:pt>
                <c:pt idx="14">
                  <c:v>52.173056411658138</c:v>
                </c:pt>
                <c:pt idx="15">
                  <c:v>68.581217689529225</c:v>
                </c:pt>
                <c:pt idx="16">
                  <c:v>93.584221924507901</c:v>
                </c:pt>
                <c:pt idx="17">
                  <c:v>118.41906376841473</c:v>
                </c:pt>
                <c:pt idx="18">
                  <c:v>143.1262759973624</c:v>
                </c:pt>
                <c:pt idx="19">
                  <c:v>167.73108360761083</c:v>
                </c:pt>
                <c:pt idx="20">
                  <c:v>192.25065332331272</c:v>
                </c:pt>
                <c:pt idx="21">
                  <c:v>153.90233005028915</c:v>
                </c:pt>
                <c:pt idx="22">
                  <c:v>186.51081276883824</c:v>
                </c:pt>
                <c:pt idx="23">
                  <c:v>218.98589856656301</c:v>
                </c:pt>
                <c:pt idx="24">
                  <c:v>251.35018250509077</c:v>
                </c:pt>
                <c:pt idx="25">
                  <c:v>283.61994287439455</c:v>
                </c:pt>
                <c:pt idx="26">
                  <c:v>239.36814609151156</c:v>
                </c:pt>
                <c:pt idx="27">
                  <c:v>274.89669858819849</c:v>
                </c:pt>
                <c:pt idx="28">
                  <c:v>310.32201375635157</c:v>
                </c:pt>
                <c:pt idx="29">
                  <c:v>345.65752741904265</c:v>
                </c:pt>
                <c:pt idx="30">
                  <c:v>380.91370150872643</c:v>
                </c:pt>
                <c:pt idx="31">
                  <c:v>336.59539404232521</c:v>
                </c:pt>
                <c:pt idx="32">
                  <c:v>371.4941833703777</c:v>
                </c:pt>
                <c:pt idx="33">
                  <c:v>406.32148880719052</c:v>
                </c:pt>
                <c:pt idx="34">
                  <c:v>441.08429055375774</c:v>
                </c:pt>
                <c:pt idx="35">
                  <c:v>475.78837940265356</c:v>
                </c:pt>
                <c:pt idx="36">
                  <c:v>428.87729921461749</c:v>
                </c:pt>
                <c:pt idx="37">
                  <c:v>460.78807982104064</c:v>
                </c:pt>
                <c:pt idx="38">
                  <c:v>492.65171161322957</c:v>
                </c:pt>
                <c:pt idx="39">
                  <c:v>524.47166827471267</c:v>
                </c:pt>
                <c:pt idx="40">
                  <c:v>556.25096808745991</c:v>
                </c:pt>
                <c:pt idx="41">
                  <c:v>506.32074034451671</c:v>
                </c:pt>
                <c:pt idx="42">
                  <c:v>534.9444976178803</c:v>
                </c:pt>
                <c:pt idx="43">
                  <c:v>563.53606377120934</c:v>
                </c:pt>
                <c:pt idx="44">
                  <c:v>592.09729944083642</c:v>
                </c:pt>
                <c:pt idx="45">
                  <c:v>620.62987134965499</c:v>
                </c:pt>
                <c:pt idx="46">
                  <c:v>581.83357169395538</c:v>
                </c:pt>
                <c:pt idx="47">
                  <c:v>607.39273139699276</c:v>
                </c:pt>
                <c:pt idx="48">
                  <c:v>632.92957124167344</c:v>
                </c:pt>
                <c:pt idx="49">
                  <c:v>658.44511728602208</c:v>
                </c:pt>
                <c:pt idx="50">
                  <c:v>683.9403096843057</c:v>
                </c:pt>
                <c:pt idx="51">
                  <c:v>651.55610138697932</c:v>
                </c:pt>
                <c:pt idx="52">
                  <c:v>674.07956329907574</c:v>
                </c:pt>
                <c:pt idx="53">
                  <c:v>696.58756909064925</c:v>
                </c:pt>
                <c:pt idx="54">
                  <c:v>719.08068786949445</c:v>
                </c:pt>
                <c:pt idx="55">
                  <c:v>741.55945028038957</c:v>
                </c:pt>
                <c:pt idx="56">
                  <c:v>713.69110254766326</c:v>
                </c:pt>
                <c:pt idx="57">
                  <c:v>733.20122457015805</c:v>
                </c:pt>
                <c:pt idx="58">
                  <c:v>752.70077387013305</c:v>
                </c:pt>
                <c:pt idx="59">
                  <c:v>772.19006261413824</c:v>
                </c:pt>
                <c:pt idx="60">
                  <c:v>791.66938594429928</c:v>
                </c:pt>
                <c:pt idx="61">
                  <c:v>766.2515388815159</c:v>
                </c:pt>
                <c:pt idx="62">
                  <c:v>782.5802570716578</c:v>
                </c:pt>
                <c:pt idx="63">
                  <c:v>798.90208178312059</c:v>
                </c:pt>
                <c:pt idx="64">
                  <c:v>815.21717355559383</c:v>
                </c:pt>
                <c:pt idx="65">
                  <c:v>831.52568598545849</c:v>
                </c:pt>
                <c:pt idx="66">
                  <c:v>2.8030510891776262E-12</c:v>
                </c:pt>
                <c:pt idx="67">
                  <c:v>2.8030510891776262E-12</c:v>
                </c:pt>
                <c:pt idx="68">
                  <c:v>2.8030510891776262E-12</c:v>
                </c:pt>
                <c:pt idx="69">
                  <c:v>2.8030510891776262E-12</c:v>
                </c:pt>
                <c:pt idx="70">
                  <c:v>2.8030510891776262E-12</c:v>
                </c:pt>
                <c:pt idx="71">
                  <c:v>2.8030510891776262E-12</c:v>
                </c:pt>
                <c:pt idx="72">
                  <c:v>2.8030510891776262E-12</c:v>
                </c:pt>
                <c:pt idx="73">
                  <c:v>2.8030510891776262E-12</c:v>
                </c:pt>
                <c:pt idx="74">
                  <c:v>2.8030510891776262E-12</c:v>
                </c:pt>
                <c:pt idx="75">
                  <c:v>2.8030510891776262E-12</c:v>
                </c:pt>
                <c:pt idx="76">
                  <c:v>2.8030510891776262E-12</c:v>
                </c:pt>
                <c:pt idx="77">
                  <c:v>2.8030510891776262E-12</c:v>
                </c:pt>
                <c:pt idx="78">
                  <c:v>2.8030510891776262E-12</c:v>
                </c:pt>
                <c:pt idx="79">
                  <c:v>2.8030510891776262E-12</c:v>
                </c:pt>
                <c:pt idx="80">
                  <c:v>2.8030510891776262E-12</c:v>
                </c:pt>
                <c:pt idx="81">
                  <c:v>2.8030510891776262E-12</c:v>
                </c:pt>
                <c:pt idx="82">
                  <c:v>2.8030510891776262E-12</c:v>
                </c:pt>
                <c:pt idx="83">
                  <c:v>2.8030510891776262E-12</c:v>
                </c:pt>
                <c:pt idx="84">
                  <c:v>2.8030510891776262E-12</c:v>
                </c:pt>
                <c:pt idx="85">
                  <c:v>2.8030510891776262E-12</c:v>
                </c:pt>
                <c:pt idx="86">
                  <c:v>2.8030510891776262E-12</c:v>
                </c:pt>
                <c:pt idx="87">
                  <c:v>2.8030510891776262E-12</c:v>
                </c:pt>
                <c:pt idx="88">
                  <c:v>2.8030510891776262E-12</c:v>
                </c:pt>
                <c:pt idx="89">
                  <c:v>2.8030510891776262E-12</c:v>
                </c:pt>
                <c:pt idx="90">
                  <c:v>2.8030510891776262E-12</c:v>
                </c:pt>
                <c:pt idx="91">
                  <c:v>2.8030510891776262E-12</c:v>
                </c:pt>
                <c:pt idx="92">
                  <c:v>2.8030510891776262E-12</c:v>
                </c:pt>
                <c:pt idx="93">
                  <c:v>2.8030510891776262E-12</c:v>
                </c:pt>
                <c:pt idx="94">
                  <c:v>2.8030510891776262E-12</c:v>
                </c:pt>
                <c:pt idx="95">
                  <c:v>2.8030510891776262E-12</c:v>
                </c:pt>
                <c:pt idx="96">
                  <c:v>2.8030510891776262E-12</c:v>
                </c:pt>
                <c:pt idx="97">
                  <c:v>2.8030510891776262E-12</c:v>
                </c:pt>
                <c:pt idx="98">
                  <c:v>2.8030510891776262E-12</c:v>
                </c:pt>
                <c:pt idx="99">
                  <c:v>2.8030510891776262E-12</c:v>
                </c:pt>
                <c:pt idx="100">
                  <c:v>2.8030510891776262E-12</c:v>
                </c:pt>
                <c:pt idx="101">
                  <c:v>2.8030510891776262E-12</c:v>
                </c:pt>
                <c:pt idx="102">
                  <c:v>2.8030510891776262E-12</c:v>
                </c:pt>
                <c:pt idx="103">
                  <c:v>2.8030510891776262E-12</c:v>
                </c:pt>
                <c:pt idx="104">
                  <c:v>2.8030510891776262E-12</c:v>
                </c:pt>
                <c:pt idx="105">
                  <c:v>2.8030510891776262E-12</c:v>
                </c:pt>
                <c:pt idx="106">
                  <c:v>2.8030510891776262E-12</c:v>
                </c:pt>
                <c:pt idx="107">
                  <c:v>2.8030510891776262E-12</c:v>
                </c:pt>
                <c:pt idx="108">
                  <c:v>2.8030510891776262E-12</c:v>
                </c:pt>
                <c:pt idx="109">
                  <c:v>2.8030510891776262E-12</c:v>
                </c:pt>
                <c:pt idx="110">
                  <c:v>2.8030510891776262E-12</c:v>
                </c:pt>
                <c:pt idx="111">
                  <c:v>2.8030510891776262E-12</c:v>
                </c:pt>
                <c:pt idx="112">
                  <c:v>2.8030510891776262E-12</c:v>
                </c:pt>
                <c:pt idx="113">
                  <c:v>2.8030510891776262E-12</c:v>
                </c:pt>
                <c:pt idx="114">
                  <c:v>2.8030510891776262E-12</c:v>
                </c:pt>
                <c:pt idx="115">
                  <c:v>2.8030510891776262E-12</c:v>
                </c:pt>
                <c:pt idx="116">
                  <c:v>2.8030510891776262E-12</c:v>
                </c:pt>
                <c:pt idx="117">
                  <c:v>2.8030510891776262E-12</c:v>
                </c:pt>
                <c:pt idx="118">
                  <c:v>2.8030510891776262E-12</c:v>
                </c:pt>
                <c:pt idx="119">
                  <c:v>2.8030510891776262E-12</c:v>
                </c:pt>
                <c:pt idx="120">
                  <c:v>2.8030510891776262E-12</c:v>
                </c:pt>
                <c:pt idx="121">
                  <c:v>2.8030510891776262E-12</c:v>
                </c:pt>
                <c:pt idx="122">
                  <c:v>2.8030510891776262E-12</c:v>
                </c:pt>
                <c:pt idx="123">
                  <c:v>2.8030510891776262E-12</c:v>
                </c:pt>
                <c:pt idx="124">
                  <c:v>2.8030510891776262E-12</c:v>
                </c:pt>
                <c:pt idx="125">
                  <c:v>2.8030510891776262E-12</c:v>
                </c:pt>
                <c:pt idx="126">
                  <c:v>2.8030510891776262E-12</c:v>
                </c:pt>
                <c:pt idx="127">
                  <c:v>2.8030510891776262E-12</c:v>
                </c:pt>
                <c:pt idx="128">
                  <c:v>2.8030510891776262E-12</c:v>
                </c:pt>
                <c:pt idx="129">
                  <c:v>2.8030510891776262E-12</c:v>
                </c:pt>
                <c:pt idx="130">
                  <c:v>2.8030510891776262E-12</c:v>
                </c:pt>
                <c:pt idx="131">
                  <c:v>2.8030510891776262E-12</c:v>
                </c:pt>
                <c:pt idx="132">
                  <c:v>2.8030510891776262E-12</c:v>
                </c:pt>
                <c:pt idx="133">
                  <c:v>2.8030510891776262E-12</c:v>
                </c:pt>
                <c:pt idx="134">
                  <c:v>2.8030510891776262E-12</c:v>
                </c:pt>
                <c:pt idx="135">
                  <c:v>2.8030510891776262E-12</c:v>
                </c:pt>
                <c:pt idx="136">
                  <c:v>2.8030510891776262E-12</c:v>
                </c:pt>
                <c:pt idx="137">
                  <c:v>2.8030510891776262E-12</c:v>
                </c:pt>
                <c:pt idx="138">
                  <c:v>2.8030510891776262E-12</c:v>
                </c:pt>
                <c:pt idx="139">
                  <c:v>2.8030510891776262E-12</c:v>
                </c:pt>
                <c:pt idx="140">
                  <c:v>2.8030510891776262E-12</c:v>
                </c:pt>
                <c:pt idx="141">
                  <c:v>2.8030510891776262E-12</c:v>
                </c:pt>
                <c:pt idx="142">
                  <c:v>2.8030510891776262E-12</c:v>
                </c:pt>
                <c:pt idx="143">
                  <c:v>2.8030510891776262E-12</c:v>
                </c:pt>
                <c:pt idx="144">
                  <c:v>2.8030510891776262E-12</c:v>
                </c:pt>
                <c:pt idx="145">
                  <c:v>2.8030510891776262E-12</c:v>
                </c:pt>
                <c:pt idx="146">
                  <c:v>2.8030510891776262E-12</c:v>
                </c:pt>
                <c:pt idx="147">
                  <c:v>2.8030510891776262E-12</c:v>
                </c:pt>
                <c:pt idx="148">
                  <c:v>2.8030510891776262E-12</c:v>
                </c:pt>
                <c:pt idx="149">
                  <c:v>2.8030510891776262E-12</c:v>
                </c:pt>
                <c:pt idx="150">
                  <c:v>2.8030510891776262E-12</c:v>
                </c:pt>
                <c:pt idx="151">
                  <c:v>2.8030510891776262E-12</c:v>
                </c:pt>
                <c:pt idx="152">
                  <c:v>2.8030510891776262E-12</c:v>
                </c:pt>
                <c:pt idx="153">
                  <c:v>2.8030510891776262E-12</c:v>
                </c:pt>
                <c:pt idx="154">
                  <c:v>2.8030510891776262E-12</c:v>
                </c:pt>
                <c:pt idx="155">
                  <c:v>2.8030510891776262E-12</c:v>
                </c:pt>
                <c:pt idx="156">
                  <c:v>2.8030510891776262E-12</c:v>
                </c:pt>
                <c:pt idx="157">
                  <c:v>2.8030510891776262E-12</c:v>
                </c:pt>
                <c:pt idx="158">
                  <c:v>2.8030510891776262E-12</c:v>
                </c:pt>
                <c:pt idx="159">
                  <c:v>2.8030510891776262E-12</c:v>
                </c:pt>
                <c:pt idx="160">
                  <c:v>2.8030510891776262E-12</c:v>
                </c:pt>
                <c:pt idx="161">
                  <c:v>2.8030510891776262E-12</c:v>
                </c:pt>
                <c:pt idx="162">
                  <c:v>2.8030510891776262E-12</c:v>
                </c:pt>
                <c:pt idx="163">
                  <c:v>2.8030510891776262E-12</c:v>
                </c:pt>
                <c:pt idx="164">
                  <c:v>2.8030510891776262E-12</c:v>
                </c:pt>
                <c:pt idx="165">
                  <c:v>2.8030510891776262E-12</c:v>
                </c:pt>
                <c:pt idx="166">
                  <c:v>2.8030510891776262E-12</c:v>
                </c:pt>
                <c:pt idx="167">
                  <c:v>2.8030510891776262E-12</c:v>
                </c:pt>
                <c:pt idx="168">
                  <c:v>2.8030510891776262E-12</c:v>
                </c:pt>
                <c:pt idx="169">
                  <c:v>2.8030510891776262E-12</c:v>
                </c:pt>
                <c:pt idx="170">
                  <c:v>2.8030510891776262E-12</c:v>
                </c:pt>
                <c:pt idx="171">
                  <c:v>2.8030510891776262E-12</c:v>
                </c:pt>
                <c:pt idx="172">
                  <c:v>2.8030510891776262E-12</c:v>
                </c:pt>
                <c:pt idx="173">
                  <c:v>2.8030510891776262E-12</c:v>
                </c:pt>
                <c:pt idx="174">
                  <c:v>2.8030510891776262E-12</c:v>
                </c:pt>
                <c:pt idx="175">
                  <c:v>2.8030510891776262E-12</c:v>
                </c:pt>
                <c:pt idx="176">
                  <c:v>2.8030510891776262E-12</c:v>
                </c:pt>
                <c:pt idx="177">
                  <c:v>2.8030510891776262E-12</c:v>
                </c:pt>
                <c:pt idx="178">
                  <c:v>2.8030510891776262E-12</c:v>
                </c:pt>
                <c:pt idx="179">
                  <c:v>2.8030510891776262E-12</c:v>
                </c:pt>
                <c:pt idx="180">
                  <c:v>2.8030510891776262E-12</c:v>
                </c:pt>
                <c:pt idx="181">
                  <c:v>2.8030510891776262E-12</c:v>
                </c:pt>
                <c:pt idx="182">
                  <c:v>2.8030510891776262E-12</c:v>
                </c:pt>
                <c:pt idx="183">
                  <c:v>2.8030510891776262E-12</c:v>
                </c:pt>
                <c:pt idx="184">
                  <c:v>2.8030510891776262E-12</c:v>
                </c:pt>
                <c:pt idx="185">
                  <c:v>2.8030510891776262E-12</c:v>
                </c:pt>
                <c:pt idx="186">
                  <c:v>2.8030510891776262E-12</c:v>
                </c:pt>
                <c:pt idx="187">
                  <c:v>2.8030510891776262E-12</c:v>
                </c:pt>
                <c:pt idx="188">
                  <c:v>2.8030510891776262E-12</c:v>
                </c:pt>
                <c:pt idx="189">
                  <c:v>2.8030510891776262E-12</c:v>
                </c:pt>
                <c:pt idx="190">
                  <c:v>2.8030510891776262E-12</c:v>
                </c:pt>
                <c:pt idx="191">
                  <c:v>2.8030510891776262E-12</c:v>
                </c:pt>
                <c:pt idx="192">
                  <c:v>2.8030510891776262E-12</c:v>
                </c:pt>
                <c:pt idx="193">
                  <c:v>2.8030510891776262E-12</c:v>
                </c:pt>
                <c:pt idx="194">
                  <c:v>2.8030510891776262E-12</c:v>
                </c:pt>
                <c:pt idx="195">
                  <c:v>2.8030510891776262E-12</c:v>
                </c:pt>
                <c:pt idx="196">
                  <c:v>2.8030510891776262E-12</c:v>
                </c:pt>
                <c:pt idx="197">
                  <c:v>2.8030510891776262E-12</c:v>
                </c:pt>
                <c:pt idx="198">
                  <c:v>2.8030510891776262E-12</c:v>
                </c:pt>
                <c:pt idx="199">
                  <c:v>2.8030510891776262E-12</c:v>
                </c:pt>
                <c:pt idx="200">
                  <c:v>2.8030510891776262E-12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60.514695528795386</c:v>
                </c:pt>
                <c:pt idx="12">
                  <c:v>75.541596157280864</c:v>
                </c:pt>
                <c:pt idx="13">
                  <c:v>90.492041210372676</c:v>
                </c:pt>
                <c:pt idx="14">
                  <c:v>105.38050081480264</c:v>
                </c:pt>
                <c:pt idx="15">
                  <c:v>120.21699124835231</c:v>
                </c:pt>
                <c:pt idx="16">
                  <c:v>92.416369816730835</c:v>
                </c:pt>
                <c:pt idx="17">
                  <c:v>111.36874928702889</c:v>
                </c:pt>
                <c:pt idx="18">
                  <c:v>130.24178504064366</c:v>
                </c:pt>
                <c:pt idx="19">
                  <c:v>149.0486227432686</c:v>
                </c:pt>
                <c:pt idx="20">
                  <c:v>167.79880331835713</c:v>
                </c:pt>
                <c:pt idx="21">
                  <c:v>137.86711899238378</c:v>
                </c:pt>
                <c:pt idx="22">
                  <c:v>157.83692263801237</c:v>
                </c:pt>
                <c:pt idx="23">
                  <c:v>177.74673882318052</c:v>
                </c:pt>
                <c:pt idx="24">
                  <c:v>197.60423730399955</c:v>
                </c:pt>
                <c:pt idx="25">
                  <c:v>217.41541708927392</c:v>
                </c:pt>
                <c:pt idx="26">
                  <c:v>186.73598138519102</c:v>
                </c:pt>
                <c:pt idx="27">
                  <c:v>205.62833372118314</c:v>
                </c:pt>
                <c:pt idx="28">
                  <c:v>224.48055915021382</c:v>
                </c:pt>
                <c:pt idx="29">
                  <c:v>243.29650191025416</c:v>
                </c:pt>
                <c:pt idx="30">
                  <c:v>262.07936261335271</c:v>
                </c:pt>
                <c:pt idx="31">
                  <c:v>229.65841439261337</c:v>
                </c:pt>
                <c:pt idx="32">
                  <c:v>246.5858084671363</c:v>
                </c:pt>
                <c:pt idx="33">
                  <c:v>263.48682168593842</c:v>
                </c:pt>
                <c:pt idx="34">
                  <c:v>280.36338431358689</c:v>
                </c:pt>
                <c:pt idx="35">
                  <c:v>297.21717518827558</c:v>
                </c:pt>
                <c:pt idx="36">
                  <c:v>263.48682168593848</c:v>
                </c:pt>
                <c:pt idx="37">
                  <c:v>278.95789553357918</c:v>
                </c:pt>
                <c:pt idx="38">
                  <c:v>294.40972662740677</c:v>
                </c:pt>
                <c:pt idx="39">
                  <c:v>309.84346710446169</c:v>
                </c:pt>
                <c:pt idx="40">
                  <c:v>325.26014493454323</c:v>
                </c:pt>
                <c:pt idx="41">
                  <c:v>294.64370341336456</c:v>
                </c:pt>
                <c:pt idx="42">
                  <c:v>308.44111949657554</c:v>
                </c:pt>
                <c:pt idx="43">
                  <c:v>322.22483077597991</c:v>
                </c:pt>
                <c:pt idx="44">
                  <c:v>335.99550614056949</c:v>
                </c:pt>
                <c:pt idx="45">
                  <c:v>349.75375516637615</c:v>
                </c:pt>
                <c:pt idx="46">
                  <c:v>323.15884066155769</c:v>
                </c:pt>
                <c:pt idx="47">
                  <c:v>336.22879868133322</c:v>
                </c:pt>
                <c:pt idx="48">
                  <c:v>349.28757120195638</c:v>
                </c:pt>
                <c:pt idx="49">
                  <c:v>362.33563538750872</c:v>
                </c:pt>
                <c:pt idx="50">
                  <c:v>375.37343122590363</c:v>
                </c:pt>
                <c:pt idx="51">
                  <c:v>351.15222533950458</c:v>
                </c:pt>
                <c:pt idx="52">
                  <c:v>363.03434528713251</c:v>
                </c:pt>
                <c:pt idx="53">
                  <c:v>374.90796779687236</c:v>
                </c:pt>
                <c:pt idx="54">
                  <c:v>386.77339997206701</c:v>
                </c:pt>
                <c:pt idx="55">
                  <c:v>398.63092853204995</c:v>
                </c:pt>
                <c:pt idx="56">
                  <c:v>375.83888207971944</c:v>
                </c:pt>
                <c:pt idx="57">
                  <c:v>386.7733999720669</c:v>
                </c:pt>
                <c:pt idx="58">
                  <c:v>397.70120560960441</c:v>
                </c:pt>
                <c:pt idx="59">
                  <c:v>408.62250947433353</c:v>
                </c:pt>
                <c:pt idx="60">
                  <c:v>419.53750987631412</c:v>
                </c:pt>
                <c:pt idx="61">
                  <c:v>398.39850220884637</c:v>
                </c:pt>
                <c:pt idx="62">
                  <c:v>408.62250947433353</c:v>
                </c:pt>
                <c:pt idx="63">
                  <c:v>418.84099239326906</c:v>
                </c:pt>
                <c:pt idx="64">
                  <c:v>429.05410478388194</c:v>
                </c:pt>
                <c:pt idx="65">
                  <c:v>439.2619925420463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5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5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5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5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5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5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5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5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5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5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5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5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5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5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5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5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5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9" zoomScale="80" zoomScaleNormal="80" workbookViewId="0">
      <selection activeCell="L45" sqref="L45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5.0999999999999996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0.75</v>
      </c>
      <c r="D9" s="33">
        <f t="shared" ref="D9:D18" si="0">C9*$C$5</f>
        <v>3.8249999999999997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156</v>
      </c>
      <c r="C10" s="32">
        <v>0.125</v>
      </c>
      <c r="D10" s="33">
        <f t="shared" si="0"/>
        <v>0.63749999999999996</v>
      </c>
      <c r="E10" s="34">
        <v>65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81</v>
      </c>
      <c r="C11" s="32">
        <v>0.125</v>
      </c>
      <c r="D11" s="33">
        <f t="shared" si="0"/>
        <v>0.63749999999999996</v>
      </c>
      <c r="E11" s="34">
        <v>65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5.0999999999999996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37</v>
      </c>
      <c r="C36" s="60">
        <v>1</v>
      </c>
      <c r="D36" s="60">
        <v>0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3.7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15</v>
      </c>
      <c r="B37" s="60">
        <v>141</v>
      </c>
      <c r="C37" s="60">
        <v>2</v>
      </c>
      <c r="D37" s="60">
        <v>48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20.8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v>226</v>
      </c>
      <c r="C38" s="60">
        <v>3</v>
      </c>
      <c r="D38" s="60">
        <v>77</v>
      </c>
      <c r="E38" s="51">
        <v>0.4</v>
      </c>
      <c r="F38" s="51">
        <v>0.34</v>
      </c>
      <c r="G38" s="51">
        <v>0.26</v>
      </c>
      <c r="H38" s="51"/>
      <c r="I38" s="53">
        <f t="shared" si="1"/>
        <v>26.6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25</v>
      </c>
      <c r="B39" s="60">
        <v>302</v>
      </c>
      <c r="C39" s="60">
        <v>4</v>
      </c>
      <c r="D39" s="60">
        <v>77</v>
      </c>
      <c r="E39" s="51">
        <v>0.4</v>
      </c>
      <c r="F39" s="51">
        <v>0.28000000000000003</v>
      </c>
      <c r="G39" s="51">
        <v>0.22</v>
      </c>
      <c r="H39" s="51"/>
      <c r="I39" s="49">
        <f t="shared" si="1"/>
        <v>30.6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30</v>
      </c>
      <c r="B40" s="60">
        <v>386</v>
      </c>
      <c r="C40" s="60">
        <v>5</v>
      </c>
      <c r="D40" s="60">
        <v>77</v>
      </c>
      <c r="E40" s="51">
        <v>0.4</v>
      </c>
      <c r="F40" s="51">
        <v>0.22</v>
      </c>
      <c r="G40" s="51">
        <v>0.18</v>
      </c>
      <c r="H40" s="51"/>
      <c r="I40" s="49">
        <f t="shared" si="1"/>
        <v>32.200000000000003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35</v>
      </c>
      <c r="B41" s="60">
        <v>465</v>
      </c>
      <c r="C41" s="60">
        <v>6</v>
      </c>
      <c r="D41" s="60">
        <v>77</v>
      </c>
      <c r="E41" s="51">
        <v>0.6</v>
      </c>
      <c r="F41" s="51">
        <v>0.22</v>
      </c>
      <c r="G41" s="51">
        <v>0.18</v>
      </c>
      <c r="H41" s="51"/>
      <c r="I41" s="53">
        <f t="shared" si="1"/>
        <v>31.2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v>533</v>
      </c>
      <c r="C42" s="60">
        <v>7</v>
      </c>
      <c r="D42" s="60">
        <v>77</v>
      </c>
      <c r="E42" s="51">
        <v>0.6</v>
      </c>
      <c r="F42" s="51">
        <v>0.22</v>
      </c>
      <c r="G42" s="51">
        <v>0.18</v>
      </c>
      <c r="H42" s="51"/>
      <c r="I42" s="53">
        <f t="shared" si="1"/>
        <v>29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45</v>
      </c>
      <c r="B43" s="60">
        <v>590</v>
      </c>
      <c r="C43" s="60">
        <v>8</v>
      </c>
      <c r="D43" s="60">
        <v>76</v>
      </c>
      <c r="E43" s="51">
        <v>0.6</v>
      </c>
      <c r="F43" s="51">
        <v>0.22</v>
      </c>
      <c r="G43" s="51">
        <v>0.18</v>
      </c>
      <c r="H43" s="51"/>
      <c r="I43" s="49">
        <f t="shared" si="1"/>
        <v>26.8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50</v>
      </c>
      <c r="B44" s="60">
        <v>636</v>
      </c>
      <c r="C44" s="60">
        <v>9</v>
      </c>
      <c r="D44" s="60">
        <v>62</v>
      </c>
      <c r="E44" s="51">
        <v>0.6</v>
      </c>
      <c r="F44" s="51">
        <v>0.22</v>
      </c>
      <c r="G44" s="51">
        <v>0.18</v>
      </c>
      <c r="H44" s="51"/>
      <c r="I44" s="49">
        <f t="shared" si="1"/>
        <v>24.4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55</v>
      </c>
      <c r="B45" s="60">
        <v>686</v>
      </c>
      <c r="C45" s="60">
        <v>10</v>
      </c>
      <c r="D45" s="60">
        <v>53</v>
      </c>
      <c r="E45" s="51">
        <v>0.7</v>
      </c>
      <c r="F45" s="51">
        <v>0.17</v>
      </c>
      <c r="G45" s="51">
        <v>0.13</v>
      </c>
      <c r="H45" s="51"/>
      <c r="I45" s="49">
        <f t="shared" si="1"/>
        <v>22.4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60</v>
      </c>
      <c r="B46" s="60">
        <v>736</v>
      </c>
      <c r="C46" s="60">
        <v>11</v>
      </c>
      <c r="D46" s="60">
        <v>48</v>
      </c>
      <c r="E46" s="51">
        <v>0.7</v>
      </c>
      <c r="F46" s="51">
        <v>0.17</v>
      </c>
      <c r="G46" s="51">
        <v>0.13</v>
      </c>
      <c r="H46" s="51"/>
      <c r="I46" s="49">
        <f t="shared" si="1"/>
        <v>20.6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65</v>
      </c>
      <c r="B47" s="60">
        <v>780</v>
      </c>
      <c r="C47" s="60">
        <v>12</v>
      </c>
      <c r="D47" s="60">
        <v>780</v>
      </c>
      <c r="E47" s="51">
        <v>0.8</v>
      </c>
      <c r="F47" s="51">
        <v>0.11</v>
      </c>
      <c r="G47" s="51">
        <v>0.09</v>
      </c>
      <c r="H47" s="51"/>
      <c r="I47" s="49">
        <f t="shared" si="1"/>
        <v>18.399999999999999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Séquoia toujours vert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15</v>
      </c>
      <c r="B62" s="60">
        <v>68</v>
      </c>
      <c r="C62" s="60">
        <v>1</v>
      </c>
      <c r="D62" s="60">
        <v>0</v>
      </c>
      <c r="E62" s="51">
        <v>0</v>
      </c>
      <c r="F62" s="51">
        <v>0.56000000000000005</v>
      </c>
      <c r="G62" s="51">
        <v>0.44</v>
      </c>
      <c r="H62" s="51"/>
      <c r="I62" s="53">
        <f>IFERROR(B62/A62,"")</f>
        <v>4.5333333333333332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196</v>
      </c>
      <c r="C63" s="60">
        <v>2</v>
      </c>
      <c r="D63" s="60">
        <v>74</v>
      </c>
      <c r="E63" s="51">
        <v>0.2</v>
      </c>
      <c r="F63" s="51">
        <v>0.45</v>
      </c>
      <c r="G63" s="51">
        <v>0.35</v>
      </c>
      <c r="H63" s="51"/>
      <c r="I63" s="49">
        <f>IF(A63&lt;&gt;0,(B63-(B62-D62))/(A63-A62),"")</f>
        <v>25.6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25</v>
      </c>
      <c r="B64" s="60">
        <v>292</v>
      </c>
      <c r="C64" s="60">
        <v>3</v>
      </c>
      <c r="D64" s="60">
        <v>84</v>
      </c>
      <c r="E64" s="51">
        <v>0.4</v>
      </c>
      <c r="F64" s="51">
        <v>0.34</v>
      </c>
      <c r="G64" s="51">
        <v>0.26</v>
      </c>
      <c r="H64" s="51"/>
      <c r="I64" s="49">
        <f>IF(A64&lt;&gt;0,(B64-(B63-D63))/(A64-A63),"")</f>
        <v>34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30</v>
      </c>
      <c r="B65" s="60">
        <v>395</v>
      </c>
      <c r="C65" s="60">
        <v>4</v>
      </c>
      <c r="D65" s="60">
        <v>84</v>
      </c>
      <c r="E65" s="51">
        <v>0.4</v>
      </c>
      <c r="F65" s="51">
        <v>0.28000000000000003</v>
      </c>
      <c r="G65" s="51">
        <v>0.22</v>
      </c>
      <c r="H65" s="51"/>
      <c r="I65" s="49">
        <f>IF(A65&lt;&gt;0,(B65-(B64-D64))/(A65-A64),"")</f>
        <v>37.4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35</v>
      </c>
      <c r="B66" s="60">
        <v>496</v>
      </c>
      <c r="C66" s="60">
        <v>5</v>
      </c>
      <c r="D66" s="60">
        <v>84</v>
      </c>
      <c r="E66" s="51">
        <v>0.4</v>
      </c>
      <c r="F66" s="51">
        <v>0.22</v>
      </c>
      <c r="G66" s="51">
        <v>0.18</v>
      </c>
      <c r="H66" s="51"/>
      <c r="I66" s="49">
        <f t="shared" ref="I66:I81" si="2">IF(A66&lt;&gt;0,(B66-(B65-D65))/(A66-A65),"")</f>
        <v>37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40</v>
      </c>
      <c r="B67" s="60">
        <v>582</v>
      </c>
      <c r="C67" s="60">
        <v>6</v>
      </c>
      <c r="D67" s="60">
        <v>84</v>
      </c>
      <c r="E67" s="51">
        <v>0.6</v>
      </c>
      <c r="F67" s="51">
        <v>0.22</v>
      </c>
      <c r="G67" s="51">
        <v>0.18</v>
      </c>
      <c r="H67" s="51"/>
      <c r="I67" s="49">
        <f t="shared" si="2"/>
        <v>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45</v>
      </c>
      <c r="B68" s="60">
        <v>651</v>
      </c>
      <c r="C68" s="60">
        <v>7</v>
      </c>
      <c r="D68" s="60">
        <v>69</v>
      </c>
      <c r="E68" s="51">
        <v>0.6</v>
      </c>
      <c r="F68" s="51">
        <v>0.22</v>
      </c>
      <c r="G68" s="51">
        <v>0.18</v>
      </c>
      <c r="H68" s="51"/>
      <c r="I68" s="49">
        <f t="shared" si="2"/>
        <v>30.6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50</v>
      </c>
      <c r="B69" s="50">
        <v>719</v>
      </c>
      <c r="C69" s="50">
        <v>8</v>
      </c>
      <c r="D69" s="50">
        <v>59</v>
      </c>
      <c r="E69" s="51">
        <v>0.6</v>
      </c>
      <c r="F69" s="51">
        <v>0.22</v>
      </c>
      <c r="G69" s="51">
        <v>0.18</v>
      </c>
      <c r="H69" s="51"/>
      <c r="I69" s="49">
        <f t="shared" si="2"/>
        <v>27.4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55</v>
      </c>
      <c r="B70" s="50">
        <v>781</v>
      </c>
      <c r="C70" s="50">
        <v>9</v>
      </c>
      <c r="D70" s="50">
        <v>51</v>
      </c>
      <c r="E70" s="51">
        <v>0.6</v>
      </c>
      <c r="F70" s="51">
        <v>0.22</v>
      </c>
      <c r="G70" s="51">
        <v>0.18</v>
      </c>
      <c r="H70" s="51"/>
      <c r="I70" s="49">
        <f t="shared" si="2"/>
        <v>24.2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60</v>
      </c>
      <c r="B71" s="50">
        <v>835</v>
      </c>
      <c r="C71" s="50">
        <v>10</v>
      </c>
      <c r="D71" s="50">
        <v>45</v>
      </c>
      <c r="E71" s="51">
        <v>0.6</v>
      </c>
      <c r="F71" s="51">
        <v>0.22</v>
      </c>
      <c r="G71" s="51">
        <v>0.18</v>
      </c>
      <c r="H71" s="51"/>
      <c r="I71" s="49">
        <f t="shared" si="2"/>
        <v>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65</v>
      </c>
      <c r="B72" s="50">
        <v>878</v>
      </c>
      <c r="C72" s="50">
        <v>11</v>
      </c>
      <c r="D72" s="50">
        <v>878</v>
      </c>
      <c r="E72" s="51">
        <v>0.6</v>
      </c>
      <c r="F72" s="51">
        <v>0.22</v>
      </c>
      <c r="G72" s="51">
        <v>0.18</v>
      </c>
      <c r="H72" s="51"/>
      <c r="I72" s="49">
        <f t="shared" si="2"/>
        <v>17.600000000000001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hybride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36</v>
      </c>
      <c r="C88" s="60">
        <v>1</v>
      </c>
      <c r="D88" s="60">
        <v>0</v>
      </c>
      <c r="E88" s="51">
        <v>0</v>
      </c>
      <c r="F88" s="51">
        <v>0.56000000000000005</v>
      </c>
      <c r="G88" s="51">
        <v>0.44</v>
      </c>
      <c r="H88" s="87"/>
      <c r="I88" s="53">
        <f>IFERROR(B88/A88,"")</f>
        <v>3.6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15</v>
      </c>
      <c r="B89" s="60">
        <v>98</v>
      </c>
      <c r="C89" s="60">
        <v>2</v>
      </c>
      <c r="D89" s="60">
        <v>39</v>
      </c>
      <c r="E89" s="51">
        <v>0</v>
      </c>
      <c r="F89" s="51">
        <v>0.56000000000000005</v>
      </c>
      <c r="G89" s="51">
        <v>0.44</v>
      </c>
      <c r="H89" s="87"/>
      <c r="I89" s="53">
        <f t="shared" ref="I89:I107" si="3">IF(A89&lt;&gt;0,(B89-(B88-D88))/(A89-A88),"")</f>
        <v>12.4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20</v>
      </c>
      <c r="B90" s="60">
        <v>138</v>
      </c>
      <c r="C90" s="60">
        <v>3</v>
      </c>
      <c r="D90" s="60">
        <v>42</v>
      </c>
      <c r="E90" s="87">
        <v>0</v>
      </c>
      <c r="F90" s="87">
        <v>0.56000000000000005</v>
      </c>
      <c r="G90" s="87">
        <v>0.44</v>
      </c>
      <c r="H90" s="87"/>
      <c r="I90" s="53">
        <f t="shared" si="3"/>
        <v>15.8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25</v>
      </c>
      <c r="B91" s="60">
        <v>180</v>
      </c>
      <c r="C91" s="60">
        <v>4</v>
      </c>
      <c r="D91" s="60">
        <v>42</v>
      </c>
      <c r="E91" s="87">
        <v>0.2</v>
      </c>
      <c r="F91" s="87">
        <v>0.45</v>
      </c>
      <c r="G91" s="87">
        <v>0.35</v>
      </c>
      <c r="H91" s="87"/>
      <c r="I91" s="53">
        <f t="shared" si="3"/>
        <v>16.8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30</v>
      </c>
      <c r="B92" s="60">
        <v>218</v>
      </c>
      <c r="C92" s="60">
        <v>5</v>
      </c>
      <c r="D92" s="60">
        <v>42</v>
      </c>
      <c r="E92" s="87">
        <v>0.4</v>
      </c>
      <c r="F92" s="87">
        <v>0.34</v>
      </c>
      <c r="G92" s="87">
        <v>0.26</v>
      </c>
      <c r="H92" s="87"/>
      <c r="I92" s="53">
        <f t="shared" si="3"/>
        <v>16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35</v>
      </c>
      <c r="B93" s="60">
        <v>248</v>
      </c>
      <c r="C93" s="60">
        <v>6</v>
      </c>
      <c r="D93" s="60">
        <v>42</v>
      </c>
      <c r="E93" s="87">
        <v>0.4</v>
      </c>
      <c r="F93" s="87">
        <v>0.28000000000000003</v>
      </c>
      <c r="G93" s="87">
        <v>0.22</v>
      </c>
      <c r="H93" s="87"/>
      <c r="I93" s="53">
        <f t="shared" si="3"/>
        <v>14.4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40</v>
      </c>
      <c r="B94" s="60">
        <v>272</v>
      </c>
      <c r="C94" s="60">
        <v>7</v>
      </c>
      <c r="D94" s="60">
        <v>38</v>
      </c>
      <c r="E94" s="87">
        <v>0.4</v>
      </c>
      <c r="F94" s="87">
        <v>0.22</v>
      </c>
      <c r="G94" s="87">
        <v>0.18</v>
      </c>
      <c r="H94" s="87"/>
      <c r="I94" s="53">
        <f t="shared" si="3"/>
        <v>13.2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45</v>
      </c>
      <c r="B95" s="60">
        <v>293</v>
      </c>
      <c r="C95" s="60">
        <v>8</v>
      </c>
      <c r="D95" s="60">
        <v>34</v>
      </c>
      <c r="E95" s="87">
        <v>0.6</v>
      </c>
      <c r="F95" s="87">
        <v>0.22</v>
      </c>
      <c r="G95" s="87">
        <v>0.18</v>
      </c>
      <c r="H95" s="87"/>
      <c r="I95" s="53">
        <f t="shared" si="3"/>
        <v>11.8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50</v>
      </c>
      <c r="B96" s="60">
        <v>315</v>
      </c>
      <c r="C96" s="60">
        <v>9</v>
      </c>
      <c r="D96" s="60">
        <v>31</v>
      </c>
      <c r="E96" s="87">
        <v>0.6</v>
      </c>
      <c r="F96" s="87">
        <v>0.22</v>
      </c>
      <c r="G96" s="87">
        <v>0.18</v>
      </c>
      <c r="H96" s="87"/>
      <c r="I96" s="53">
        <f t="shared" si="3"/>
        <v>11.2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55</v>
      </c>
      <c r="B97" s="60">
        <v>335</v>
      </c>
      <c r="C97" s="60">
        <v>10</v>
      </c>
      <c r="D97" s="60">
        <v>29</v>
      </c>
      <c r="E97" s="87">
        <v>0.6</v>
      </c>
      <c r="F97" s="87">
        <v>0.22</v>
      </c>
      <c r="G97" s="87">
        <v>0.18</v>
      </c>
      <c r="H97" s="87"/>
      <c r="I97" s="53">
        <f t="shared" si="3"/>
        <v>10.199999999999999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60</v>
      </c>
      <c r="B98" s="60">
        <v>353</v>
      </c>
      <c r="C98" s="60">
        <v>11</v>
      </c>
      <c r="D98" s="60">
        <v>27</v>
      </c>
      <c r="E98" s="87">
        <v>0.6</v>
      </c>
      <c r="F98" s="87">
        <v>0.22</v>
      </c>
      <c r="G98" s="87">
        <v>0.18</v>
      </c>
      <c r="H98" s="87"/>
      <c r="I98" s="53">
        <f t="shared" si="3"/>
        <v>9.4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65</v>
      </c>
      <c r="B99" s="60">
        <v>370</v>
      </c>
      <c r="C99" s="60">
        <v>12</v>
      </c>
      <c r="D99" s="60">
        <v>370</v>
      </c>
      <c r="E99" s="87">
        <v>0.6</v>
      </c>
      <c r="F99" s="87">
        <v>0.22</v>
      </c>
      <c r="G99" s="87">
        <v>0.18</v>
      </c>
      <c r="H99" s="87"/>
      <c r="I99" s="53">
        <f t="shared" si="3"/>
        <v>8.8000000000000007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33" sqref="C3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Douglas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Séquoia toujours vert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Mélèze hybride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410.71046306000068</v>
      </c>
      <c r="T3" s="59">
        <f>IF('Données projet'!E9&gt;30,$R$33-$H$33,LOOKUP('Données projet'!$E$9,$A$3:$A$203,R3:R203)-LOOKUP('Données projet'!$E$9,$A$3:$A$203,$H$3:$H$203))</f>
        <v>430.43167430170087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343.36665824683809</v>
      </c>
      <c r="AO3" s="59">
        <f>IF('Données projet'!E10&gt;30,$AM$33-$H$33,LOOKUP('Données projet'!$E$10,$A$3:$A$203,AM3:AM203)-LOOKUP('Données projet'!$E$10,$A$3:$A$203,$H$3:$H$203))</f>
        <v>342.89042241858527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191.96190073146369</v>
      </c>
      <c r="BJ3" s="59">
        <f>IF('Données projet'!E11&gt;30,$BH$33-$H$33,LOOKUP('Données projet'!$E$11,$A$3:$A$203,BH3:BH203)-LOOKUP('Données projet'!$E$11,$A$3:$A$203,$H$3:$H$203))</f>
        <v>224.0560835232115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3.7</v>
      </c>
      <c r="N4" s="13">
        <f>IF('Données projet'!$A$36&gt;35,N3+M4-V3,IF(A4&lt;'Données projet'!$A$36,$K$205^A4,IF(A4='Données projet'!$A$36,'Données projet'!$B$36,N3+M4-V3)))</f>
        <v>1.4348951656753595</v>
      </c>
      <c r="O4" s="13">
        <f>N4*VLOOKUP('Données projet'!$B$9,Paramètres!$A$1:$I$89,3,0)*VLOOKUP('Données projet'!$B$9,Paramètres!$A$1:$I$89,5,0)</f>
        <v>0.80210639761252589</v>
      </c>
      <c r="P4" s="13">
        <f>EXP(-1.0587+0.8836*LN(O4)+0.284)</f>
        <v>0.37925511137099766</v>
      </c>
      <c r="Q4" s="20">
        <f t="shared" ref="Q4:Q34" si="2">(O4+P4)*0.475*44/12</f>
        <v>2.0575379614796372</v>
      </c>
      <c r="R4" s="59">
        <f t="shared" si="0"/>
        <v>295.39087129481294</v>
      </c>
      <c r="S4" s="59">
        <f ca="1">AVERAGE(OFFSET($R$3,0,0,'Données projet'!$E$9+1,1))-AVERAGE(OFFSET($H$3,0,0,'Données projet'!$E$9+1,1))</f>
        <v>410.71046306000068</v>
      </c>
      <c r="T4" s="59">
        <f>$T$3</f>
        <v>430.43167430170087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4.5333333333333332</v>
      </c>
      <c r="AI4" s="13">
        <f>IF('Données projet'!$A$62&gt;35,AI3+AH4-AQ3,IF(A4&lt;'Données projet'!$A$62,$AF$205^A4,IF(A4='Données projet'!$A$62,'Données projet'!$B$62,AI3+AH4-AQ3)))</f>
        <v>1.3248516801703365</v>
      </c>
      <c r="AJ4" s="13">
        <f>AI4*VLOOKUP('Données projet'!$B$10,Paramètres!$A$1:$I$89,3,0)*VLOOKUP('Données projet'!$B$10,Paramètres!$A$1:$I$89,5,0)</f>
        <v>0.58558444263528886</v>
      </c>
      <c r="AK4" s="13">
        <f>EXP(-1.0587+0.8836*LN(AJ4)+0.284)</f>
        <v>0.287206439954799</v>
      </c>
      <c r="AL4" s="20">
        <f t="shared" ref="AL4:AL67" si="4">(AJ4+AK4)*0.475*44/12</f>
        <v>1.5201107871777362</v>
      </c>
      <c r="AM4" s="59">
        <f t="shared" ref="AM4:AM67" si="5">AL4+(AD4+AE4)*44/12</f>
        <v>294.85344412051103</v>
      </c>
      <c r="AN4" s="59">
        <f ca="1">AVERAGE(OFFSET($AM$3,0,0,'Données projet'!$E$10+1,1))-AVERAGE(OFFSET($H$3,0,0,'Données projet'!$E$10+1,1))</f>
        <v>343.36665824683809</v>
      </c>
      <c r="AO4" s="59">
        <f>$AO$3</f>
        <v>342.89042241858527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</v>
      </c>
      <c r="BD4" s="12">
        <f>IF('Données projet'!$A$88&gt;35,BD3+BC4-BL3,IF(A4&lt;'Données projet'!$A$88,$BA$205^A4,IF(A4='Données projet'!$A$88,'Données projet'!$B$88,BD3+BC4-BL3)))</f>
        <v>1.4309690811052556</v>
      </c>
      <c r="BE4" s="13">
        <f>BD4*VLOOKUP('Données projet'!$B$11,Paramètres!$A$1:$I$89,3,0)*VLOOKUP('Données projet'!$B$11,Paramètres!$A$1:$I$89,5,0)</f>
        <v>0.78130911828346949</v>
      </c>
      <c r="BF4" s="13">
        <f>EXP(-1.0587+0.8836*LN(BE4)+0.284)</f>
        <v>0.37055303350010543</v>
      </c>
      <c r="BG4" s="20">
        <f t="shared" ref="BG4:BG67" si="7">(BE4+BF4)*0.475*44/12</f>
        <v>2.0061599143563931</v>
      </c>
      <c r="BH4" s="59">
        <f t="shared" ref="BH4:BH67" si="8">BG4+(AY4+AZ4)*44/12</f>
        <v>295.33949324768969</v>
      </c>
      <c r="BI4" s="59">
        <f ca="1">AVERAGE(OFFSET($BH$3,0,0,'Données projet'!$E$11+1,1))-AVERAGE(OFFSET($H$3,0,0,'Données projet'!$E$11+1,1))</f>
        <v>191.96190073146369</v>
      </c>
      <c r="BJ4" s="59">
        <f>$BJ$3</f>
        <v>224.0560835232115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3.7</v>
      </c>
      <c r="N5" s="13">
        <f>IF('Données projet'!$A$36&gt;35,N4+M5-V4,IF(A5&lt;'Données projet'!$A$36,$K$205^A5,IF(A5='Données projet'!$A$36,'Données projet'!$B$36,N4+M5-V4)))</f>
        <v>2.0589241364785171</v>
      </c>
      <c r="O5" s="13">
        <f>N5*VLOOKUP('Données projet'!$B$9,Paramètres!$A$1:$I$89,3,0)*VLOOKUP('Données projet'!$B$9,Paramètres!$A$1:$I$89,5,0)</f>
        <v>1.150938592291491</v>
      </c>
      <c r="P5" s="13">
        <f t="shared" ref="P5:P68" si="33">EXP(-1.0587+0.8836*LN(O5)+0.284)</f>
        <v>0.52179239731105564</v>
      </c>
      <c r="Q5" s="20">
        <f t="shared" si="2"/>
        <v>2.9133398068911021</v>
      </c>
      <c r="R5" s="59">
        <f t="shared" si="0"/>
        <v>296.2466731402244</v>
      </c>
      <c r="S5" s="59">
        <f ca="1">AVERAGE(OFFSET($R$3,0,0,'Données projet'!$E$9+1,1))-AVERAGE(OFFSET($H$3,0,0,'Données projet'!$E$9+1,1))</f>
        <v>410.71046306000068</v>
      </c>
      <c r="T5" s="59">
        <f t="shared" ref="T5:T68" si="34">$T$3</f>
        <v>430.43167430170087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4.5333333333333332</v>
      </c>
      <c r="AI5" s="13">
        <f>IF('Données projet'!$A$62&gt;35,AI4+AH5-AQ4,IF(A5&lt;'Données projet'!$A$62,$AF$205^A5,IF(A5='Données projet'!$A$62,'Données projet'!$B$62,AI4+AH5-AQ4)))</f>
        <v>1.7552319744501637</v>
      </c>
      <c r="AJ5" s="13">
        <f>AI5*VLOOKUP('Données projet'!$B$10,Paramètres!$A$1:$I$89,3,0)*VLOOKUP('Données projet'!$B$10,Paramètres!$A$1:$I$89,5,0)</f>
        <v>0.77581253270697248</v>
      </c>
      <c r="AK5" s="13">
        <f t="shared" ref="AK5:AK68" si="35">EXP(-1.0587+0.8836*LN(AJ5)+0.284)</f>
        <v>0.36824865173136384</v>
      </c>
      <c r="AL5" s="20">
        <f t="shared" si="4"/>
        <v>1.992573229563436</v>
      </c>
      <c r="AM5" s="59">
        <f t="shared" si="5"/>
        <v>295.32590656289676</v>
      </c>
      <c r="AN5" s="59">
        <f ca="1">AVERAGE(OFFSET($AM$3,0,0,'Données projet'!$E$10+1,1))-AVERAGE(OFFSET($H$3,0,0,'Données projet'!$E$10+1,1))</f>
        <v>343.36665824683809</v>
      </c>
      <c r="AO5" s="59">
        <f t="shared" ref="AO5:AO68" si="36">$AO$3</f>
        <v>342.89042241858527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</v>
      </c>
      <c r="BD5" s="12">
        <f>IF('Données projet'!$A$88&gt;35,BD4+BC5-BL4,IF(A5&lt;'Données projet'!$A$88,$BA$205^A5,IF(A5='Données projet'!$A$88,'Données projet'!$B$88,BD4+BC5-BL4)))</f>
        <v>2.0476725110792193</v>
      </c>
      <c r="BE5" s="13">
        <f>BD5*VLOOKUP('Données projet'!$B$11,Paramètres!$A$1:$I$89,3,0)*VLOOKUP('Données projet'!$B$11,Paramètres!$A$1:$I$89,5,0)</f>
        <v>1.1180291910492537</v>
      </c>
      <c r="BF5" s="13">
        <f t="shared" ref="BF5:BF68" si="37">EXP(-1.0587+0.8836*LN(BE5)+0.284)</f>
        <v>0.50858700810998547</v>
      </c>
      <c r="BG5" s="20">
        <f t="shared" si="7"/>
        <v>2.8330232135356752</v>
      </c>
      <c r="BH5" s="59">
        <f t="shared" si="8"/>
        <v>296.166356546869</v>
      </c>
      <c r="BI5" s="59">
        <f ca="1">AVERAGE(OFFSET($BH$3,0,0,'Données projet'!$E$11+1,1))-AVERAGE(OFFSET($H$3,0,0,'Données projet'!$E$11+1,1))</f>
        <v>191.96190073146369</v>
      </c>
      <c r="BJ5" s="59">
        <f t="shared" ref="BJ5:BJ68" si="38">$BJ$3</f>
        <v>224.0560835232115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3.7</v>
      </c>
      <c r="N6" s="13">
        <f>IF('Données projet'!$A$36&gt;35,N5+M6-V5,IF(A6&lt;'Données projet'!$A$36,$K$205^A6,IF(A6='Données projet'!$A$36,'Données projet'!$B$36,N5+M6-V5)))</f>
        <v>2.9543402899253381</v>
      </c>
      <c r="O6" s="13">
        <f>N6*VLOOKUP('Données projet'!$B$9,Paramètres!$A$1:$I$89,3,0)*VLOOKUP('Données projet'!$B$9,Paramètres!$A$1:$I$89,5,0)</f>
        <v>1.6514762220682639</v>
      </c>
      <c r="P6" s="13">
        <f t="shared" si="33"/>
        <v>0.71790016199749873</v>
      </c>
      <c r="Q6" s="20">
        <f t="shared" si="2"/>
        <v>4.1266638689145365</v>
      </c>
      <c r="R6" s="59">
        <f t="shared" si="0"/>
        <v>297.45999720224785</v>
      </c>
      <c r="S6" s="59">
        <f ca="1">AVERAGE(OFFSET($R$3,0,0,'Données projet'!$E$9+1,1))-AVERAGE(OFFSET($H$3,0,0,'Données projet'!$E$9+1,1))</f>
        <v>410.71046306000068</v>
      </c>
      <c r="T6" s="59">
        <f t="shared" si="34"/>
        <v>430.43167430170087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4.5333333333333332</v>
      </c>
      <c r="AI6" s="13">
        <f>IF('Données projet'!$A$62&gt;35,AI5+AH6-AQ5,IF(A6&lt;'Données projet'!$A$62,$AF$205^A6,IF(A6='Données projet'!$A$62,'Données projet'!$B$62,AI5+AH6-AQ5)))</f>
        <v>2.3254220304389963</v>
      </c>
      <c r="AJ6" s="13">
        <f>AI6*VLOOKUP('Données projet'!$B$10,Paramètres!$A$1:$I$89,3,0)*VLOOKUP('Données projet'!$B$10,Paramètres!$A$1:$I$89,5,0)</f>
        <v>1.0278365374540366</v>
      </c>
      <c r="AK6" s="13">
        <f t="shared" si="35"/>
        <v>0.47215887472199208</v>
      </c>
      <c r="AL6" s="20">
        <f t="shared" si="4"/>
        <v>2.6124920095399164</v>
      </c>
      <c r="AM6" s="59">
        <f t="shared" si="5"/>
        <v>295.94582534287321</v>
      </c>
      <c r="AN6" s="59">
        <f ca="1">AVERAGE(OFFSET($AM$3,0,0,'Données projet'!$E$10+1,1))-AVERAGE(OFFSET($H$3,0,0,'Données projet'!$E$10+1,1))</f>
        <v>343.36665824683809</v>
      </c>
      <c r="AO6" s="59">
        <f t="shared" si="36"/>
        <v>342.89042241858527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</v>
      </c>
      <c r="BD6" s="12">
        <f>IF('Données projet'!$A$88&gt;35,BD5+BC6-BL5,IF(A6&lt;'Données projet'!$A$88,$BA$205^A6,IF(A6='Données projet'!$A$88,'Données projet'!$B$88,BD5+BC6-BL5)))</f>
        <v>2.9301560515835217</v>
      </c>
      <c r="BE6" s="13">
        <f>BD6*VLOOKUP('Données projet'!$B$11,Paramètres!$A$1:$I$89,3,0)*VLOOKUP('Données projet'!$B$11,Paramètres!$A$1:$I$89,5,0)</f>
        <v>1.5998652041646029</v>
      </c>
      <c r="BF6" s="13">
        <f t="shared" si="37"/>
        <v>0.6980397444734262</v>
      </c>
      <c r="BG6" s="20">
        <f t="shared" si="7"/>
        <v>4.0021844522112344</v>
      </c>
      <c r="BH6" s="59">
        <f t="shared" si="8"/>
        <v>297.33551778554454</v>
      </c>
      <c r="BI6" s="59">
        <f ca="1">AVERAGE(OFFSET($BH$3,0,0,'Données projet'!$E$11+1,1))-AVERAGE(OFFSET($H$3,0,0,'Données projet'!$E$11+1,1))</f>
        <v>191.96190073146369</v>
      </c>
      <c r="BJ6" s="59">
        <f t="shared" si="38"/>
        <v>224.0560835232115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3.7</v>
      </c>
      <c r="N7" s="13">
        <f>IF('Données projet'!$A$36&gt;35,N6+M7-V6,IF(A7&lt;'Données projet'!$A$36,$K$205^A7,IF(A7='Données projet'!$A$36,'Données projet'!$B$36,N6+M7-V6)))</f>
        <v>4.2391685997738078</v>
      </c>
      <c r="O7" s="13">
        <f>N7*VLOOKUP('Données projet'!$B$9,Paramètres!$A$1:$I$89,3,0)*VLOOKUP('Données projet'!$B$9,Paramètres!$A$1:$I$89,5,0)</f>
        <v>2.3696952472735586</v>
      </c>
      <c r="P7" s="13">
        <f t="shared" si="33"/>
        <v>0.98771205799842543</v>
      </c>
      <c r="Q7" s="20">
        <f t="shared" si="2"/>
        <v>5.8474843900153717</v>
      </c>
      <c r="R7" s="59">
        <f t="shared" si="0"/>
        <v>299.1808177233487</v>
      </c>
      <c r="S7" s="59">
        <f ca="1">AVERAGE(OFFSET($R$3,0,0,'Données projet'!$E$9+1,1))-AVERAGE(OFFSET($H$3,0,0,'Données projet'!$E$9+1,1))</f>
        <v>410.71046306000068</v>
      </c>
      <c r="T7" s="59">
        <f t="shared" si="34"/>
        <v>430.43167430170087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4.5333333333333332</v>
      </c>
      <c r="AI7" s="13">
        <f>IF('Données projet'!$A$62&gt;35,AI6+AH7-AQ6,IF(A7&lt;'Données projet'!$A$62,$AF$205^A7,IF(A7='Données projet'!$A$62,'Données projet'!$B$62,AI6+AH7-AQ6)))</f>
        <v>3.0808392841322201</v>
      </c>
      <c r="AJ7" s="13">
        <f>AI7*VLOOKUP('Données projet'!$B$10,Paramètres!$A$1:$I$89,3,0)*VLOOKUP('Données projet'!$B$10,Paramètres!$A$1:$I$89,5,0)</f>
        <v>1.3617309635864414</v>
      </c>
      <c r="AK7" s="13">
        <f t="shared" si="35"/>
        <v>0.60538986885787016</v>
      </c>
      <c r="AL7" s="20">
        <f t="shared" si="4"/>
        <v>3.426068783173843</v>
      </c>
      <c r="AM7" s="59">
        <f t="shared" si="5"/>
        <v>296.75940211650715</v>
      </c>
      <c r="AN7" s="59">
        <f ca="1">AVERAGE(OFFSET($AM$3,0,0,'Données projet'!$E$10+1,1))-AVERAGE(OFFSET($H$3,0,0,'Données projet'!$E$10+1,1))</f>
        <v>343.36665824683809</v>
      </c>
      <c r="AO7" s="59">
        <f t="shared" si="36"/>
        <v>342.89042241858527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</v>
      </c>
      <c r="BD7" s="12">
        <f>IF('Données projet'!$A$88&gt;35,BD6+BC7-BL6,IF(A7&lt;'Données projet'!$A$88,$BA$205^A7,IF(A7='Données projet'!$A$88,'Données projet'!$B$88,BD6+BC7-BL6)))</f>
        <v>4.192962712629476</v>
      </c>
      <c r="BE7" s="13">
        <f>BD7*VLOOKUP('Données projet'!$B$11,Paramètres!$A$1:$I$89,3,0)*VLOOKUP('Données projet'!$B$11,Paramètres!$A$1:$I$89,5,0)</f>
        <v>2.2893576410956937</v>
      </c>
      <c r="BF7" s="13">
        <f t="shared" si="37"/>
        <v>0.95806514341623272</v>
      </c>
      <c r="BG7" s="20">
        <f t="shared" si="7"/>
        <v>5.6559280163582706</v>
      </c>
      <c r="BH7" s="59">
        <f t="shared" si="8"/>
        <v>298.98926134969156</v>
      </c>
      <c r="BI7" s="59">
        <f ca="1">AVERAGE(OFFSET($BH$3,0,0,'Données projet'!$E$11+1,1))-AVERAGE(OFFSET($H$3,0,0,'Données projet'!$E$11+1,1))</f>
        <v>191.96190073146369</v>
      </c>
      <c r="BJ7" s="59">
        <f t="shared" si="38"/>
        <v>224.0560835232115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3.7</v>
      </c>
      <c r="N8" s="13">
        <f>IF('Données projet'!$A$36&gt;35,N7+M8-V7,IF(A8&lt;'Données projet'!$A$36,$K$205^A8,IF(A8='Données projet'!$A$36,'Données projet'!$B$36,N7+M8-V7)))</f>
        <v>6.0827625302982193</v>
      </c>
      <c r="O8" s="13">
        <f>N8*VLOOKUP('Données projet'!$B$9,Paramètres!$A$1:$I$89,3,0)*VLOOKUP('Données projet'!$B$9,Paramètres!$A$1:$I$89,5,0)</f>
        <v>3.4002642544367045</v>
      </c>
      <c r="P8" s="13">
        <f t="shared" si="33"/>
        <v>1.3589286660710962</v>
      </c>
      <c r="Q8" s="20">
        <f t="shared" si="2"/>
        <v>8.2889276698844174</v>
      </c>
      <c r="R8" s="59">
        <f t="shared" si="0"/>
        <v>301.62226100321772</v>
      </c>
      <c r="S8" s="59">
        <f ca="1">AVERAGE(OFFSET($R$3,0,0,'Données projet'!$E$9+1,1))-AVERAGE(OFFSET($H$3,0,0,'Données projet'!$E$9+1,1))</f>
        <v>410.71046306000068</v>
      </c>
      <c r="T8" s="59">
        <f t="shared" si="34"/>
        <v>430.43167430170087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4.5333333333333332</v>
      </c>
      <c r="AI8" s="13">
        <f>IF('Données projet'!$A$62&gt;35,AI7+AH8-AQ7,IF(A8&lt;'Données projet'!$A$62,$AF$205^A8,IF(A8='Données projet'!$A$62,'Données projet'!$B$62,AI7+AH8-AQ7)))</f>
        <v>4.0816551019173488</v>
      </c>
      <c r="AJ8" s="13">
        <f>AI8*VLOOKUP('Données projet'!$B$10,Paramètres!$A$1:$I$89,3,0)*VLOOKUP('Données projet'!$B$10,Paramètres!$A$1:$I$89,5,0)</f>
        <v>1.8040915550474683</v>
      </c>
      <c r="AK8" s="13">
        <f t="shared" si="35"/>
        <v>0.77621519564054209</v>
      </c>
      <c r="AL8" s="20">
        <f t="shared" si="4"/>
        <v>4.494034257448285</v>
      </c>
      <c r="AM8" s="59">
        <f t="shared" si="5"/>
        <v>297.82736759078159</v>
      </c>
      <c r="AN8" s="59">
        <f ca="1">AVERAGE(OFFSET($AM$3,0,0,'Données projet'!$E$10+1,1))-AVERAGE(OFFSET($H$3,0,0,'Données projet'!$E$10+1,1))</f>
        <v>343.36665824683809</v>
      </c>
      <c r="AO8" s="59">
        <f t="shared" si="36"/>
        <v>342.89042241858527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</v>
      </c>
      <c r="BD8" s="12">
        <f>IF('Données projet'!$A$88&gt;35,BD7+BC8-BL7,IF(A8&lt;'Données projet'!$A$88,$BA$205^A8,IF(A8='Données projet'!$A$88,'Données projet'!$B$88,BD7+BC8-BL7)))</f>
        <v>6.0000000000000009</v>
      </c>
      <c r="BE8" s="13">
        <f>BD8*VLOOKUP('Données projet'!$B$11,Paramètres!$A$1:$I$89,3,0)*VLOOKUP('Données projet'!$B$11,Paramètres!$A$1:$I$89,5,0)</f>
        <v>3.2760000000000007</v>
      </c>
      <c r="BF8" s="13">
        <f t="shared" si="37"/>
        <v>1.3149520873221716</v>
      </c>
      <c r="BG8" s="20">
        <f t="shared" si="7"/>
        <v>7.9959082187527839</v>
      </c>
      <c r="BH8" s="59">
        <f t="shared" si="8"/>
        <v>301.3292415520861</v>
      </c>
      <c r="BI8" s="59">
        <f ca="1">AVERAGE(OFFSET($BH$3,0,0,'Données projet'!$E$11+1,1))-AVERAGE(OFFSET($H$3,0,0,'Données projet'!$E$11+1,1))</f>
        <v>191.96190073146369</v>
      </c>
      <c r="BJ8" s="59">
        <f t="shared" si="38"/>
        <v>224.0560835232115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3.7</v>
      </c>
      <c r="N9" s="13">
        <f>IF('Données projet'!$A$36&gt;35,N8+M9-V8,IF(A9&lt;'Données projet'!$A$36,$K$205^A9,IF(A9='Données projet'!$A$36,'Données projet'!$B$36,N8+M9-V8)))</f>
        <v>8.7281265486761317</v>
      </c>
      <c r="O9" s="13">
        <f>N9*VLOOKUP('Données projet'!$B$9,Paramètres!$A$1:$I$89,3,0)*VLOOKUP('Données projet'!$B$9,Paramètres!$A$1:$I$89,5,0)</f>
        <v>4.8790227407099573</v>
      </c>
      <c r="P9" s="13">
        <f t="shared" si="33"/>
        <v>1.8696614104438858</v>
      </c>
      <c r="Q9" s="20">
        <f t="shared" si="2"/>
        <v>11.753958229926276</v>
      </c>
      <c r="R9" s="59">
        <f t="shared" si="0"/>
        <v>305.08729156325961</v>
      </c>
      <c r="S9" s="59">
        <f ca="1">AVERAGE(OFFSET($R$3,0,0,'Données projet'!$E$9+1,1))-AVERAGE(OFFSET($H$3,0,0,'Données projet'!$E$9+1,1))</f>
        <v>410.71046306000068</v>
      </c>
      <c r="T9" s="59">
        <f t="shared" si="34"/>
        <v>430.43167430170087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4.5333333333333332</v>
      </c>
      <c r="AI9" s="13">
        <f>IF('Données projet'!$A$62&gt;35,AI8+AH9-AQ8,IF(A9&lt;'Données projet'!$A$62,$AF$205^A9,IF(A9='Données projet'!$A$62,'Données projet'!$B$62,AI8+AH9-AQ8)))</f>
        <v>5.4075876196510251</v>
      </c>
      <c r="AJ9" s="13">
        <f>AI9*VLOOKUP('Données projet'!$B$10,Paramètres!$A$1:$I$89,3,0)*VLOOKUP('Données projet'!$B$10,Paramètres!$A$1:$I$89,5,0)</f>
        <v>2.3901537278857532</v>
      </c>
      <c r="AK9" s="13">
        <f t="shared" si="35"/>
        <v>0.9952430011423572</v>
      </c>
      <c r="AL9" s="20">
        <f t="shared" si="4"/>
        <v>5.896232636390625</v>
      </c>
      <c r="AM9" s="59">
        <f t="shared" si="5"/>
        <v>299.22956596972392</v>
      </c>
      <c r="AN9" s="59">
        <f ca="1">AVERAGE(OFFSET($AM$3,0,0,'Données projet'!$E$10+1,1))-AVERAGE(OFFSET($H$3,0,0,'Données projet'!$E$10+1,1))</f>
        <v>343.36665824683809</v>
      </c>
      <c r="AO9" s="59">
        <f t="shared" si="36"/>
        <v>342.89042241858527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</v>
      </c>
      <c r="BD9" s="12">
        <f>IF('Données projet'!$A$88&gt;35,BD8+BC9-BL8,IF(A9&lt;'Données projet'!$A$88,$BA$205^A9,IF(A9='Données projet'!$A$88,'Données projet'!$B$88,BD8+BC9-BL8)))</f>
        <v>8.5858144866315342</v>
      </c>
      <c r="BE9" s="13">
        <f>BD9*VLOOKUP('Données projet'!$B$11,Paramètres!$A$1:$I$89,3,0)*VLOOKUP('Données projet'!$B$11,Paramètres!$A$1:$I$89,5,0)</f>
        <v>4.6878547097008179</v>
      </c>
      <c r="BF9" s="13">
        <f t="shared" si="37"/>
        <v>1.8047822779434171</v>
      </c>
      <c r="BG9" s="20">
        <f t="shared" si="7"/>
        <v>11.308009420147043</v>
      </c>
      <c r="BH9" s="59">
        <f t="shared" si="8"/>
        <v>304.64134275348033</v>
      </c>
      <c r="BI9" s="59">
        <f ca="1">AVERAGE(OFFSET($BH$3,0,0,'Données projet'!$E$11+1,1))-AVERAGE(OFFSET($H$3,0,0,'Données projet'!$E$11+1,1))</f>
        <v>191.96190073146369</v>
      </c>
      <c r="BJ9" s="59">
        <f t="shared" si="38"/>
        <v>224.0560835232115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3.7</v>
      </c>
      <c r="N10" s="13">
        <f>IF('Données projet'!$A$36&gt;35,N9+M10-V9,IF(A10&lt;'Données projet'!$A$36,$K$205^A10,IF(A10='Données projet'!$A$36,'Données projet'!$B$36,N9+M10-V9)))</f>
        <v>12.523946590098141</v>
      </c>
      <c r="O10" s="13">
        <f>N10*VLOOKUP('Données projet'!$B$9,Paramètres!$A$1:$I$89,3,0)*VLOOKUP('Données projet'!$B$9,Paramètres!$A$1:$I$89,5,0)</f>
        <v>7.0008861438648609</v>
      </c>
      <c r="P10" s="13">
        <f t="shared" si="33"/>
        <v>2.5723453165569885</v>
      </c>
      <c r="Q10" s="20">
        <f t="shared" si="2"/>
        <v>16.673378126901387</v>
      </c>
      <c r="R10" s="59">
        <f t="shared" si="0"/>
        <v>310.00671146023473</v>
      </c>
      <c r="S10" s="59">
        <f ca="1">AVERAGE(OFFSET($R$3,0,0,'Données projet'!$E$9+1,1))-AVERAGE(OFFSET($H$3,0,0,'Données projet'!$E$9+1,1))</f>
        <v>410.71046306000068</v>
      </c>
      <c r="T10" s="59">
        <f t="shared" si="34"/>
        <v>430.43167430170087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4.5333333333333332</v>
      </c>
      <c r="AI10" s="13">
        <f>IF('Données projet'!$A$62&gt;35,AI9+AH10-AQ9,IF(A10&lt;'Données projet'!$A$62,$AF$205^A10,IF(A10='Données projet'!$A$62,'Données projet'!$B$62,AI9+AH10-AQ9)))</f>
        <v>7.1642515435629708</v>
      </c>
      <c r="AJ10" s="13">
        <f>AI10*VLOOKUP('Données projet'!$B$10,Paramètres!$A$1:$I$89,3,0)*VLOOKUP('Données projet'!$B$10,Paramètres!$A$1:$I$89,5,0)</f>
        <v>3.1665991822548336</v>
      </c>
      <c r="AK10" s="13">
        <f t="shared" si="35"/>
        <v>1.2760747752502664</v>
      </c>
      <c r="AL10" s="20">
        <f t="shared" si="4"/>
        <v>7.737657142654716</v>
      </c>
      <c r="AM10" s="59">
        <f t="shared" si="5"/>
        <v>301.07099047598803</v>
      </c>
      <c r="AN10" s="59">
        <f ca="1">AVERAGE(OFFSET($AM$3,0,0,'Données projet'!$E$10+1,1))-AVERAGE(OFFSET($H$3,0,0,'Données projet'!$E$10+1,1))</f>
        <v>343.36665824683809</v>
      </c>
      <c r="AO10" s="59">
        <f t="shared" si="36"/>
        <v>342.89042241858527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</v>
      </c>
      <c r="BD10" s="12">
        <f>IF('Données projet'!$A$88&gt;35,BD9+BC10-BL9,IF(A10&lt;'Données projet'!$A$88,$BA$205^A10,IF(A10='Données projet'!$A$88,'Données projet'!$B$88,BD9+BC10-BL9)))</f>
        <v>12.286035066475318</v>
      </c>
      <c r="BE10" s="13">
        <f>BD10*VLOOKUP('Données projet'!$B$11,Paramètres!$A$1:$I$89,3,0)*VLOOKUP('Données projet'!$B$11,Paramètres!$A$1:$I$89,5,0)</f>
        <v>6.708175146295523</v>
      </c>
      <c r="BF10" s="13">
        <f t="shared" si="37"/>
        <v>2.4770781400954469</v>
      </c>
      <c r="BG10" s="20">
        <f t="shared" si="7"/>
        <v>15.997649473797606</v>
      </c>
      <c r="BH10" s="59">
        <f t="shared" si="8"/>
        <v>309.33098280713091</v>
      </c>
      <c r="BI10" s="59">
        <f ca="1">AVERAGE(OFFSET($BH$3,0,0,'Données projet'!$E$11+1,1))-AVERAGE(OFFSET($H$3,0,0,'Données projet'!$E$11+1,1))</f>
        <v>191.96190073146369</v>
      </c>
      <c r="BJ10" s="59">
        <f t="shared" si="38"/>
        <v>224.0560835232115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3.7</v>
      </c>
      <c r="N11" s="13">
        <f>IF('Données projet'!$A$36&gt;35,N10+M11-V10,IF(A11&lt;'Données projet'!$A$36,$K$205^A11,IF(A11='Données projet'!$A$36,'Données projet'!$B$36,N10+M11-V10)))</f>
        <v>17.970550417308225</v>
      </c>
      <c r="O11" s="13">
        <f>N11*VLOOKUP('Données projet'!$B$9,Paramètres!$A$1:$I$89,3,0)*VLOOKUP('Données projet'!$B$9,Paramètres!$A$1:$I$89,5,0)</f>
        <v>10.045537683275297</v>
      </c>
      <c r="P11" s="13">
        <f t="shared" si="33"/>
        <v>3.5391223195015331</v>
      </c>
      <c r="Q11" s="20">
        <f t="shared" si="2"/>
        <v>23.659949504836316</v>
      </c>
      <c r="R11" s="59">
        <f t="shared" si="0"/>
        <v>316.99328283816965</v>
      </c>
      <c r="S11" s="59">
        <f ca="1">AVERAGE(OFFSET($R$3,0,0,'Données projet'!$E$9+1,1))-AVERAGE(OFFSET($H$3,0,0,'Données projet'!$E$9+1,1))</f>
        <v>410.71046306000068</v>
      </c>
      <c r="T11" s="59">
        <f t="shared" si="34"/>
        <v>430.43167430170087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4.5333333333333332</v>
      </c>
      <c r="AI11" s="13">
        <f>IF('Données projet'!$A$62&gt;35,AI10+AH11-AQ10,IF(A11&lt;'Données projet'!$A$62,$AF$205^A11,IF(A11='Données projet'!$A$62,'Données projet'!$B$62,AI10+AH11-AQ10)))</f>
        <v>9.4915706946523297</v>
      </c>
      <c r="AJ11" s="13">
        <f>AI11*VLOOKUP('Données projet'!$B$10,Paramètres!$A$1:$I$89,3,0)*VLOOKUP('Données projet'!$B$10,Paramètres!$A$1:$I$89,5,0)</f>
        <v>4.1952742470363296</v>
      </c>
      <c r="AK11" s="13">
        <f t="shared" si="35"/>
        <v>1.6361499956904495</v>
      </c>
      <c r="AL11" s="20">
        <f t="shared" si="4"/>
        <v>10.15639722274914</v>
      </c>
      <c r="AM11" s="59">
        <f t="shared" si="5"/>
        <v>303.48973055608246</v>
      </c>
      <c r="AN11" s="59">
        <f ca="1">AVERAGE(OFFSET($AM$3,0,0,'Données projet'!$E$10+1,1))-AVERAGE(OFFSET($H$3,0,0,'Données projet'!$E$10+1,1))</f>
        <v>343.36665824683809</v>
      </c>
      <c r="AO11" s="59">
        <f t="shared" si="36"/>
        <v>342.89042241858527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</v>
      </c>
      <c r="BD11" s="12">
        <f>IF('Données projet'!$A$88&gt;35,BD10+BC11-BL10,IF(A11&lt;'Données projet'!$A$88,$BA$205^A11,IF(A11='Données projet'!$A$88,'Données projet'!$B$88,BD10+BC11-BL10)))</f>
        <v>17.580936309501134</v>
      </c>
      <c r="BE11" s="13">
        <f>BD11*VLOOKUP('Données projet'!$B$11,Paramètres!$A$1:$I$89,3,0)*VLOOKUP('Données projet'!$B$11,Paramètres!$A$1:$I$89,5,0)</f>
        <v>9.599191224987619</v>
      </c>
      <c r="BF11" s="13">
        <f t="shared" si="37"/>
        <v>3.3998095987127641</v>
      </c>
      <c r="BG11" s="20">
        <f t="shared" si="7"/>
        <v>22.6399264346115</v>
      </c>
      <c r="BH11" s="59">
        <f t="shared" si="8"/>
        <v>315.9732597679448</v>
      </c>
      <c r="BI11" s="59">
        <f ca="1">AVERAGE(OFFSET($BH$3,0,0,'Données projet'!$E$11+1,1))-AVERAGE(OFFSET($H$3,0,0,'Données projet'!$E$11+1,1))</f>
        <v>191.96190073146369</v>
      </c>
      <c r="BJ11" s="59">
        <f t="shared" si="38"/>
        <v>224.0560835232115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3.7</v>
      </c>
      <c r="N12" s="13">
        <f>IF('Données projet'!$A$36&gt;35,N11+M12-V11,IF(A12&lt;'Données projet'!$A$36,$K$205^A12,IF(A12='Données projet'!$A$36,'Données projet'!$B$36,N11+M12-V11)))</f>
        <v>25.785855918320884</v>
      </c>
      <c r="O12" s="13">
        <f>N12*VLOOKUP('Données projet'!$B$9,Paramètres!$A$1:$I$89,3,0)*VLOOKUP('Données projet'!$B$9,Paramètres!$A$1:$I$89,5,0)</f>
        <v>14.414293458341374</v>
      </c>
      <c r="P12" s="13">
        <f t="shared" si="33"/>
        <v>4.869247807350682</v>
      </c>
      <c r="Q12" s="20">
        <f t="shared" si="2"/>
        <v>33.585501037747001</v>
      </c>
      <c r="R12" s="59">
        <f t="shared" si="0"/>
        <v>326.91883437108032</v>
      </c>
      <c r="S12" s="59">
        <f ca="1">AVERAGE(OFFSET($R$3,0,0,'Données projet'!$E$9+1,1))-AVERAGE(OFFSET($H$3,0,0,'Données projet'!$E$9+1,1))</f>
        <v>410.71046306000068</v>
      </c>
      <c r="T12" s="59">
        <f t="shared" si="34"/>
        <v>430.43167430170087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4.5333333333333332</v>
      </c>
      <c r="AI12" s="13">
        <f>IF('Données projet'!$A$62&gt;35,AI11+AH12-AQ11,IF(A12&lt;'Données projet'!$A$62,$AF$205^A12,IF(A12='Données projet'!$A$62,'Données projet'!$B$62,AI11+AH12-AQ11)))</f>
        <v>12.574923382265666</v>
      </c>
      <c r="AJ12" s="13">
        <f>AI12*VLOOKUP('Données projet'!$B$10,Paramètres!$A$1:$I$89,3,0)*VLOOKUP('Données projet'!$B$10,Paramètres!$A$1:$I$89,5,0)</f>
        <v>5.5581161349614252</v>
      </c>
      <c r="AK12" s="13">
        <f t="shared" si="35"/>
        <v>2.0978291087000307</v>
      </c>
      <c r="AL12" s="20">
        <f t="shared" si="4"/>
        <v>13.334104632710369</v>
      </c>
      <c r="AM12" s="59">
        <f t="shared" si="5"/>
        <v>306.66743796604368</v>
      </c>
      <c r="AN12" s="59">
        <f ca="1">AVERAGE(OFFSET($AM$3,0,0,'Données projet'!$E$10+1,1))-AVERAGE(OFFSET($H$3,0,0,'Données projet'!$E$10+1,1))</f>
        <v>343.36665824683809</v>
      </c>
      <c r="AO12" s="59">
        <f t="shared" si="36"/>
        <v>342.89042241858527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</v>
      </c>
      <c r="BD12" s="12">
        <f>IF('Données projet'!$A$88&gt;35,BD11+BC12-BL11,IF(A12&lt;'Données projet'!$A$88,$BA$205^A12,IF(A12='Données projet'!$A$88,'Données projet'!$B$88,BD11+BC12-BL11)))</f>
        <v>25.157776275776861</v>
      </c>
      <c r="BE12" s="13">
        <f>BD12*VLOOKUP('Données projet'!$B$11,Paramètres!$A$1:$I$89,3,0)*VLOOKUP('Données projet'!$B$11,Paramètres!$A$1:$I$89,5,0)</f>
        <v>13.736145846574166</v>
      </c>
      <c r="BF12" s="13">
        <f t="shared" si="37"/>
        <v>4.6662659204824557</v>
      </c>
      <c r="BG12" s="20">
        <f t="shared" si="7"/>
        <v>32.050867160956948</v>
      </c>
      <c r="BH12" s="59">
        <f t="shared" si="8"/>
        <v>325.38420049429027</v>
      </c>
      <c r="BI12" s="59">
        <f ca="1">AVERAGE(OFFSET($BH$3,0,0,'Données projet'!$E$11+1,1))-AVERAGE(OFFSET($H$3,0,0,'Données projet'!$E$11+1,1))</f>
        <v>191.96190073146369</v>
      </c>
      <c r="BJ12" s="59">
        <f t="shared" si="38"/>
        <v>224.0560835232115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37</v>
      </c>
      <c r="L13" s="12">
        <f>VLOOKUP(A13,'Données projet'!$A$35:$I$55,9,0)</f>
        <v>3.7</v>
      </c>
      <c r="M13" s="12">
        <f t="array" ref="M13">INDEX(L:L,MIN(IF(ISNUMBER(L13:L209),ROW(L13:L209),"")))</f>
        <v>3.7</v>
      </c>
      <c r="N13" s="13">
        <f>IF('Données projet'!$A$36&gt;35,N12+M13-V12,IF(A13&lt;'Données projet'!$A$36,$K$205^A13,IF(A13='Données projet'!$A$36,'Données projet'!$B$36,N12+M13-V12)))</f>
        <v>37</v>
      </c>
      <c r="O13" s="13">
        <f>N13*VLOOKUP('Données projet'!$B$9,Paramètres!$A$1:$I$89,3,0)*VLOOKUP('Données projet'!$B$9,Paramètres!$A$1:$I$89,5,0)</f>
        <v>20.683</v>
      </c>
      <c r="P13" s="13">
        <f t="shared" si="33"/>
        <v>6.6992808015544387</v>
      </c>
      <c r="Q13" s="20">
        <f t="shared" si="2"/>
        <v>47.690805729373977</v>
      </c>
      <c r="R13" s="59">
        <f t="shared" si="0"/>
        <v>341.02413906270726</v>
      </c>
      <c r="S13" s="59">
        <f ca="1">AVERAGE(OFFSET($R$3,0,0,'Données projet'!$E$9+1,1))-AVERAGE(OFFSET($H$3,0,0,'Données projet'!$E$9+1,1))</f>
        <v>410.71046306000068</v>
      </c>
      <c r="T13" s="59">
        <f t="shared" si="34"/>
        <v>430.43167430170087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0.30800000000000005</v>
      </c>
      <c r="Y13" s="16">
        <f>IF(ISNA(VLOOKUP(A13,'Données projet'!$A$35:$I$55,7,0)),0%,VLOOKUP(A13,'Données projet'!$A$35:$I$55,7,0))</f>
        <v>0.44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4.5333333333333332</v>
      </c>
      <c r="AI13" s="13">
        <f>IF('Données projet'!$A$62&gt;35,AI12+AH13-AQ12,IF(A13&lt;'Données projet'!$A$62,$AF$205^A13,IF(A13='Données projet'!$A$62,'Données projet'!$B$62,AI12+AH13-AQ12)))</f>
        <v>16.659908371007919</v>
      </c>
      <c r="AJ13" s="13">
        <f>AI13*VLOOKUP('Données projet'!$B$10,Paramètres!$A$1:$I$89,3,0)*VLOOKUP('Données projet'!$B$10,Paramètres!$A$1:$I$89,5,0)</f>
        <v>7.3636794999855013</v>
      </c>
      <c r="AK13" s="13">
        <f t="shared" si="35"/>
        <v>2.6897820987690104</v>
      </c>
      <c r="AL13" s="20">
        <f t="shared" si="4"/>
        <v>17.509778951164108</v>
      </c>
      <c r="AM13" s="59">
        <f t="shared" si="5"/>
        <v>310.84311228449741</v>
      </c>
      <c r="AN13" s="59">
        <f ca="1">AVERAGE(OFFSET($AM$3,0,0,'Données projet'!$E$10+1,1))-AVERAGE(OFFSET($H$3,0,0,'Données projet'!$E$10+1,1))</f>
        <v>343.36665824683809</v>
      </c>
      <c r="AO13" s="59">
        <f t="shared" si="36"/>
        <v>342.89042241858527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36</v>
      </c>
      <c r="BB13" s="12">
        <f>VLOOKUP(A13,'Données projet'!$A$87:$I$107,9,0)</f>
        <v>3.6</v>
      </c>
      <c r="BC13" s="12">
        <f t="array" ref="BC13">INDEX(BB:BB,MIN(IF(ISNUMBER(BB13:BB209),ROW(BB13:BB209),"")))</f>
        <v>3.6</v>
      </c>
      <c r="BD13" s="12">
        <f>IF('Données projet'!$A$88&gt;35,BD12+BC13-BL12,IF(A13&lt;'Données projet'!$A$88,$BA$205^A13,IF(A13='Données projet'!$A$88,'Données projet'!$B$88,BD12+BC13-BL12)))</f>
        <v>36</v>
      </c>
      <c r="BE13" s="13">
        <f>BD13*VLOOKUP('Données projet'!$B$11,Paramètres!$A$1:$I$89,3,0)*VLOOKUP('Données projet'!$B$11,Paramètres!$A$1:$I$89,5,0)</f>
        <v>19.655999999999999</v>
      </c>
      <c r="BF13" s="13">
        <f t="shared" si="37"/>
        <v>6.4044873715575275</v>
      </c>
      <c r="BG13" s="20">
        <f t="shared" si="7"/>
        <v>45.388682172129364</v>
      </c>
      <c r="BH13" s="59">
        <f t="shared" si="8"/>
        <v>338.72201550546265</v>
      </c>
      <c r="BI13" s="59">
        <f ca="1">AVERAGE(OFFSET($BH$3,0,0,'Données projet'!$E$11+1,1))-AVERAGE(OFFSET($H$3,0,0,'Données projet'!$E$11+1,1))</f>
        <v>191.96190073146369</v>
      </c>
      <c r="BJ13" s="59">
        <f t="shared" si="38"/>
        <v>224.0560835232115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0.33600000000000002</v>
      </c>
      <c r="BO13" s="16">
        <f>IF(ISNA(VLOOKUP(A13,'Données projet'!$A$87:$I$107,7,0)),0%,VLOOKUP(A13,'Données projet'!$A$87:$I$107,7,0))</f>
        <v>0.44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20.8</v>
      </c>
      <c r="N14" s="13">
        <f>IF('Données projet'!$A$36&gt;35,N13+M14-V13,IF(A14&lt;'Données projet'!$A$36,$K$205^A14,IF(A14='Données projet'!$A$36,'Données projet'!$B$36,N13+M14-V13)))</f>
        <v>57.8</v>
      </c>
      <c r="O14" s="13">
        <f>N14*VLOOKUP('Données projet'!$B$9,Paramètres!$A$1:$I$89,3,0)*VLOOKUP('Données projet'!$B$9,Paramètres!$A$1:$I$89,5,0)</f>
        <v>32.310200000000002</v>
      </c>
      <c r="P14" s="13">
        <f t="shared" si="33"/>
        <v>9.9358397035017969</v>
      </c>
      <c r="Q14" s="20">
        <f t="shared" si="2"/>
        <v>73.57851915026562</v>
      </c>
      <c r="R14" s="59">
        <f t="shared" si="0"/>
        <v>366.91185248359892</v>
      </c>
      <c r="S14" s="59">
        <f ca="1">AVERAGE(OFFSET($R$3,0,0,'Données projet'!$E$9+1,1))-AVERAGE(OFFSET($H$3,0,0,'Données projet'!$E$9+1,1))</f>
        <v>410.71046306000068</v>
      </c>
      <c r="T14" s="59">
        <f t="shared" si="34"/>
        <v>430.43167430170087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4.5333333333333332</v>
      </c>
      <c r="AI14" s="13">
        <f>IF('Données projet'!$A$62&gt;35,AI13+AH14-AQ13,IF(A14&lt;'Données projet'!$A$62,$AF$205^A14,IF(A14='Données projet'!$A$62,'Données projet'!$B$62,AI13+AH14-AQ13)))</f>
        <v>22.071907596813695</v>
      </c>
      <c r="AJ14" s="13">
        <f>AI14*VLOOKUP('Données projet'!$B$10,Paramètres!$A$1:$I$89,3,0)*VLOOKUP('Données projet'!$B$10,Paramètres!$A$1:$I$89,5,0)</f>
        <v>9.7557831577916545</v>
      </c>
      <c r="AK14" s="13">
        <f t="shared" si="35"/>
        <v>3.4487688767659037</v>
      </c>
      <c r="AL14" s="20">
        <f t="shared" si="4"/>
        <v>22.997928126854415</v>
      </c>
      <c r="AM14" s="59">
        <f t="shared" si="5"/>
        <v>316.3312614601877</v>
      </c>
      <c r="AN14" s="59">
        <f ca="1">AVERAGE(OFFSET($AM$3,0,0,'Données projet'!$E$10+1,1))-AVERAGE(OFFSET($H$3,0,0,'Données projet'!$E$10+1,1))</f>
        <v>343.36665824683809</v>
      </c>
      <c r="AO14" s="59">
        <f t="shared" si="36"/>
        <v>342.89042241858527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12.4</v>
      </c>
      <c r="BD14" s="12">
        <f>IF('Données projet'!$A$88&gt;35,BD13+BC14-BL13,IF(A14&lt;'Données projet'!$A$88,$BA$205^A14,IF(A14='Données projet'!$A$88,'Données projet'!$B$88,BD13+BC14-BL13)))</f>
        <v>48.4</v>
      </c>
      <c r="BE14" s="13">
        <f>BD14*VLOOKUP('Données projet'!$B$11,Paramètres!$A$1:$I$89,3,0)*VLOOKUP('Données projet'!$B$11,Paramètres!$A$1:$I$89,5,0)</f>
        <v>26.426400000000001</v>
      </c>
      <c r="BF14" s="13">
        <f t="shared" si="37"/>
        <v>8.3188797294519006</v>
      </c>
      <c r="BG14" s="20">
        <f t="shared" si="7"/>
        <v>60.514695528795386</v>
      </c>
      <c r="BH14" s="59">
        <f t="shared" si="8"/>
        <v>353.84802886212867</v>
      </c>
      <c r="BI14" s="59">
        <f ca="1">AVERAGE(OFFSET($BH$3,0,0,'Données projet'!$E$11+1,1))-AVERAGE(OFFSET($H$3,0,0,'Données projet'!$E$11+1,1))</f>
        <v>191.96190073146369</v>
      </c>
      <c r="BJ14" s="59">
        <f t="shared" si="38"/>
        <v>224.0560835232115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20.8</v>
      </c>
      <c r="N15" s="13">
        <f>IF('Données projet'!$A$36&gt;35,N14+M15-V14,IF(A15&lt;'Données projet'!$A$36,$K$205^A15,IF(A15='Données projet'!$A$36,'Données projet'!$B$36,N14+M15-V14)))</f>
        <v>78.599999999999994</v>
      </c>
      <c r="O15" s="13">
        <f>N15*VLOOKUP('Données projet'!$B$9,Paramètres!$A$1:$I$89,3,0)*VLOOKUP('Données projet'!$B$9,Paramètres!$A$1:$I$89,5,0)</f>
        <v>43.937399999999997</v>
      </c>
      <c r="P15" s="13">
        <f t="shared" si="33"/>
        <v>13.036484721604452</v>
      </c>
      <c r="Q15" s="20">
        <f t="shared" si="2"/>
        <v>99.229515890127743</v>
      </c>
      <c r="R15" s="59">
        <f t="shared" si="0"/>
        <v>392.56284922346106</v>
      </c>
      <c r="S15" s="59">
        <f ca="1">AVERAGE(OFFSET($R$3,0,0,'Données projet'!$E$9+1,1))-AVERAGE(OFFSET($H$3,0,0,'Données projet'!$E$9+1,1))</f>
        <v>410.71046306000068</v>
      </c>
      <c r="T15" s="59">
        <f t="shared" si="34"/>
        <v>430.43167430170087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4.5333333333333332</v>
      </c>
      <c r="AI15" s="13">
        <f>IF('Données projet'!$A$62&gt;35,AI14+AH15-AQ14,IF(A15&lt;'Données projet'!$A$62,$AF$205^A15,IF(A15='Données projet'!$A$62,'Données projet'!$B$62,AI14+AH15-AQ14)))</f>
        <v>29.242003864203042</v>
      </c>
      <c r="AJ15" s="13">
        <f>AI15*VLOOKUP('Données projet'!$B$10,Paramètres!$A$1:$I$89,3,0)*VLOOKUP('Données projet'!$B$10,Paramètres!$A$1:$I$89,5,0)</f>
        <v>12.924965707977746</v>
      </c>
      <c r="AK15" s="13">
        <f t="shared" si="35"/>
        <v>4.4219220474374099</v>
      </c>
      <c r="AL15" s="20">
        <f t="shared" si="4"/>
        <v>30.212496174014731</v>
      </c>
      <c r="AM15" s="59">
        <f t="shared" si="5"/>
        <v>323.54582950734806</v>
      </c>
      <c r="AN15" s="59">
        <f ca="1">AVERAGE(OFFSET($AM$3,0,0,'Données projet'!$E$10+1,1))-AVERAGE(OFFSET($H$3,0,0,'Données projet'!$E$10+1,1))</f>
        <v>343.36665824683809</v>
      </c>
      <c r="AO15" s="59">
        <f t="shared" si="36"/>
        <v>342.89042241858527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12.4</v>
      </c>
      <c r="BD15" s="12">
        <f>IF('Données projet'!$A$88&gt;35,BD14+BC15-BL14,IF(A15&lt;'Données projet'!$A$88,$BA$205^A15,IF(A15='Données projet'!$A$88,'Données projet'!$B$88,BD14+BC15-BL14)))</f>
        <v>60.8</v>
      </c>
      <c r="BE15" s="13">
        <f>BD15*VLOOKUP('Données projet'!$B$11,Paramètres!$A$1:$I$89,3,0)*VLOOKUP('Données projet'!$B$11,Paramètres!$A$1:$I$89,5,0)</f>
        <v>33.196799999999996</v>
      </c>
      <c r="BF15" s="13">
        <f t="shared" si="37"/>
        <v>10.176365257768927</v>
      </c>
      <c r="BG15" s="20">
        <f t="shared" si="7"/>
        <v>75.541596157280864</v>
      </c>
      <c r="BH15" s="59">
        <f t="shared" si="8"/>
        <v>368.87492949061419</v>
      </c>
      <c r="BI15" s="59">
        <f ca="1">AVERAGE(OFFSET($BH$3,0,0,'Données projet'!$E$11+1,1))-AVERAGE(OFFSET($H$3,0,0,'Données projet'!$E$11+1,1))</f>
        <v>191.96190073146369</v>
      </c>
      <c r="BJ15" s="59">
        <f t="shared" si="38"/>
        <v>224.0560835232115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20.8</v>
      </c>
      <c r="N16" s="13">
        <f>IF('Données projet'!$A$36&gt;35,N15+M16-V15,IF(A16&lt;'Données projet'!$A$36,$K$205^A16,IF(A16='Données projet'!$A$36,'Données projet'!$B$36,N15+M16-V15)))</f>
        <v>99.399999999999991</v>
      </c>
      <c r="O16" s="13">
        <f>N16*VLOOKUP('Données projet'!$B$9,Paramètres!$A$1:$I$89,3,0)*VLOOKUP('Données projet'!$B$9,Paramètres!$A$1:$I$89,5,0)</f>
        <v>55.564599999999999</v>
      </c>
      <c r="P16" s="13">
        <f t="shared" si="33"/>
        <v>16.041897887519969</v>
      </c>
      <c r="Q16" s="20">
        <f t="shared" si="2"/>
        <v>124.7146504874306</v>
      </c>
      <c r="R16" s="59">
        <f t="shared" si="0"/>
        <v>418.04798382076393</v>
      </c>
      <c r="S16" s="59">
        <f ca="1">AVERAGE(OFFSET($R$3,0,0,'Données projet'!$E$9+1,1))-AVERAGE(OFFSET($H$3,0,0,'Données projet'!$E$9+1,1))</f>
        <v>410.71046306000068</v>
      </c>
      <c r="T16" s="59">
        <f t="shared" si="34"/>
        <v>430.43167430170087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4.5333333333333332</v>
      </c>
      <c r="AI16" s="13">
        <f>IF('Données projet'!$A$62&gt;35,AI15+AH16-AQ15,IF(A16&lt;'Données projet'!$A$62,$AF$205^A16,IF(A16='Données projet'!$A$62,'Données projet'!$B$62,AI15+AH16-AQ15)))</f>
        <v>38.741317951036876</v>
      </c>
      <c r="AJ16" s="13">
        <f>AI16*VLOOKUP('Données projet'!$B$10,Paramètres!$A$1:$I$89,3,0)*VLOOKUP('Données projet'!$B$10,Paramètres!$A$1:$I$89,5,0)</f>
        <v>17.123662534358303</v>
      </c>
      <c r="AK16" s="13">
        <f t="shared" si="35"/>
        <v>5.6696738147177115</v>
      </c>
      <c r="AL16" s="20">
        <f t="shared" si="4"/>
        <v>39.698394141307396</v>
      </c>
      <c r="AM16" s="59">
        <f t="shared" si="5"/>
        <v>333.03172747464072</v>
      </c>
      <c r="AN16" s="59">
        <f ca="1">AVERAGE(OFFSET($AM$3,0,0,'Données projet'!$E$10+1,1))-AVERAGE(OFFSET($H$3,0,0,'Données projet'!$E$10+1,1))</f>
        <v>343.36665824683809</v>
      </c>
      <c r="AO16" s="59">
        <f t="shared" si="36"/>
        <v>342.89042241858527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12.4</v>
      </c>
      <c r="BD16" s="12">
        <f>IF('Données projet'!$A$88&gt;35,BD15+BC16-BL15,IF(A16&lt;'Données projet'!$A$88,$BA$205^A16,IF(A16='Données projet'!$A$88,'Données projet'!$B$88,BD15+BC16-BL15)))</f>
        <v>73.2</v>
      </c>
      <c r="BE16" s="13">
        <f>BD16*VLOOKUP('Données projet'!$B$11,Paramètres!$A$1:$I$89,3,0)*VLOOKUP('Données projet'!$B$11,Paramètres!$A$1:$I$89,5,0)</f>
        <v>39.967199999999998</v>
      </c>
      <c r="BF16" s="13">
        <f t="shared" si="37"/>
        <v>11.989952848060867</v>
      </c>
      <c r="BG16" s="20">
        <f t="shared" si="7"/>
        <v>90.492041210372676</v>
      </c>
      <c r="BH16" s="59">
        <f t="shared" si="8"/>
        <v>383.825374543706</v>
      </c>
      <c r="BI16" s="59">
        <f ca="1">AVERAGE(OFFSET($BH$3,0,0,'Données projet'!$E$11+1,1))-AVERAGE(OFFSET($H$3,0,0,'Données projet'!$E$11+1,1))</f>
        <v>191.96190073146369</v>
      </c>
      <c r="BJ16" s="59">
        <f t="shared" si="38"/>
        <v>224.0560835232115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20.8</v>
      </c>
      <c r="N17" s="13">
        <f>IF('Données projet'!$A$36&gt;35,N16+M17-V16,IF(A17&lt;'Données projet'!$A$36,$K$205^A17,IF(A17='Données projet'!$A$36,'Données projet'!$B$36,N16+M17-V16)))</f>
        <v>120.19999999999999</v>
      </c>
      <c r="O17" s="13">
        <f>N17*VLOOKUP('Données projet'!$B$9,Paramètres!$A$1:$I$89,3,0)*VLOOKUP('Données projet'!$B$9,Paramètres!$A$1:$I$89,5,0)</f>
        <v>67.191799999999986</v>
      </c>
      <c r="P17" s="13">
        <f t="shared" si="33"/>
        <v>18.974429457235701</v>
      </c>
      <c r="Q17" s="20">
        <f t="shared" si="2"/>
        <v>150.07284963801882</v>
      </c>
      <c r="R17" s="59">
        <f t="shared" si="0"/>
        <v>443.40618297135211</v>
      </c>
      <c r="S17" s="59">
        <f ca="1">AVERAGE(OFFSET($R$3,0,0,'Données projet'!$E$9+1,1))-AVERAGE(OFFSET($H$3,0,0,'Données projet'!$E$9+1,1))</f>
        <v>410.71046306000068</v>
      </c>
      <c r="T17" s="59">
        <f t="shared" si="34"/>
        <v>430.43167430170087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4.5333333333333332</v>
      </c>
      <c r="AI17" s="13">
        <f>IF('Données projet'!$A$62&gt;35,AI16+AH17-AQ16,IF(A17&lt;'Données projet'!$A$62,$AF$205^A17,IF(A17='Données projet'!$A$62,'Données projet'!$B$62,AI16+AH17-AQ16)))</f>
        <v>51.326500179444416</v>
      </c>
      <c r="AJ17" s="13">
        <f>AI17*VLOOKUP('Données projet'!$B$10,Paramètres!$A$1:$I$89,3,0)*VLOOKUP('Données projet'!$B$10,Paramètres!$A$1:$I$89,5,0)</f>
        <v>22.686313079314434</v>
      </c>
      <c r="AK17" s="13">
        <f t="shared" si="35"/>
        <v>7.2695087838385657</v>
      </c>
      <c r="AL17" s="20">
        <f t="shared" si="4"/>
        <v>52.173056411658138</v>
      </c>
      <c r="AM17" s="59">
        <f t="shared" si="5"/>
        <v>345.50638974499145</v>
      </c>
      <c r="AN17" s="59">
        <f ca="1">AVERAGE(OFFSET($AM$3,0,0,'Données projet'!$E$10+1,1))-AVERAGE(OFFSET($H$3,0,0,'Données projet'!$E$10+1,1))</f>
        <v>343.36665824683809</v>
      </c>
      <c r="AO17" s="59">
        <f t="shared" si="36"/>
        <v>342.89042241858527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12.4</v>
      </c>
      <c r="BD17" s="12">
        <f>IF('Données projet'!$A$88&gt;35,BD16+BC17-BL16,IF(A17&lt;'Données projet'!$A$88,$BA$205^A17,IF(A17='Données projet'!$A$88,'Données projet'!$B$88,BD16+BC17-BL16)))</f>
        <v>85.600000000000009</v>
      </c>
      <c r="BE17" s="13">
        <f>BD17*VLOOKUP('Données projet'!$B$11,Paramètres!$A$1:$I$89,3,0)*VLOOKUP('Données projet'!$B$11,Paramètres!$A$1:$I$89,5,0)</f>
        <v>46.737600000000008</v>
      </c>
      <c r="BF17" s="13">
        <f t="shared" si="37"/>
        <v>13.767950707063713</v>
      </c>
      <c r="BG17" s="20">
        <f t="shared" si="7"/>
        <v>105.38050081480264</v>
      </c>
      <c r="BH17" s="59">
        <f t="shared" si="8"/>
        <v>398.71383414813596</v>
      </c>
      <c r="BI17" s="59">
        <f ca="1">AVERAGE(OFFSET($BH$3,0,0,'Données projet'!$E$11+1,1))-AVERAGE(OFFSET($H$3,0,0,'Données projet'!$E$11+1,1))</f>
        <v>191.96190073146369</v>
      </c>
      <c r="BJ17" s="59">
        <f t="shared" si="38"/>
        <v>224.0560835232115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141</v>
      </c>
      <c r="L18" s="12">
        <f>VLOOKUP(A18,'Données projet'!$A$35:$I$55,9,0)</f>
        <v>20.8</v>
      </c>
      <c r="M18" s="12">
        <f t="array" ref="M18">INDEX(L:L,MIN(IF(ISNUMBER(L18:L214),ROW(L18:L214),"")))</f>
        <v>20.8</v>
      </c>
      <c r="N18" s="13">
        <f>IF('Données projet'!$A$36&gt;35,N17+M18-V17,IF(A18&lt;'Données projet'!$A$36,$K$205^A18,IF(A18='Données projet'!$A$36,'Données projet'!$B$36,N17+M18-V17)))</f>
        <v>141</v>
      </c>
      <c r="O18" s="13">
        <f>N18*VLOOKUP('Données projet'!$B$9,Paramètres!$A$1:$I$89,3,0)*VLOOKUP('Données projet'!$B$9,Paramètres!$A$1:$I$89,5,0)</f>
        <v>78.819000000000003</v>
      </c>
      <c r="P18" s="13">
        <f t="shared" si="33"/>
        <v>21.848174018657907</v>
      </c>
      <c r="Q18" s="20">
        <f t="shared" si="2"/>
        <v>175.32866141582917</v>
      </c>
      <c r="R18" s="59">
        <f t="shared" si="0"/>
        <v>468.66199474916249</v>
      </c>
      <c r="S18" s="59">
        <f ca="1">AVERAGE(OFFSET($R$3,0,0,'Données projet'!$E$9+1,1))-AVERAGE(OFFSET($H$3,0,0,'Données projet'!$E$9+1,1))</f>
        <v>410.71046306000068</v>
      </c>
      <c r="T18" s="59">
        <f t="shared" si="34"/>
        <v>430.43167430170087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48</v>
      </c>
      <c r="W18" s="16">
        <f>IF(ISNA(VLOOKUP(A18,'Données projet'!$A$35:$I$55,5,0)),0%,VLOOKUP(A18,'Données projet'!$A$35:$I$55,5,0)*VLOOKUP('Données projet'!$B$9,Paramètres!$A$1:$I$89,7,0))</f>
        <v>0.11000000000000001</v>
      </c>
      <c r="X18" s="16">
        <f>IF(ISNA(VLOOKUP(A18,'Données projet'!$A$35:$I$55,6,0)),0%,VLOOKUP(A18,'Données projet'!$A$35:$I$55,6,0)*VLOOKUP('Données projet'!$B$9,Paramètres!$A$1:$I$89,7,0))</f>
        <v>0.24750000000000003</v>
      </c>
      <c r="Y18" s="16">
        <f>IF(ISNA(VLOOKUP(A18,'Données projet'!$A$35:$I$55,7,0)),0%,VLOOKUP(A18,'Données projet'!$A$35:$I$55,7,0))</f>
        <v>0.35</v>
      </c>
      <c r="Z18" s="21">
        <f>EXP(-LN(2)/35)*Z17+(1-EXP(-LN(2)/35))/(LN(2)/35)*V18*W18*VLOOKUP('Données projet'!$B$9,Paramètres!$A$1:$I$89,3,0)*0.475*44/12</f>
        <v>3.9153815215189129</v>
      </c>
      <c r="AA18" s="21">
        <f>EXP(-LN(2)/25)*AA17+(1-EXP(-LN(2)/25))/(LN(2)/25)*Calculateur!V18*Calculateur!X18*VLOOKUP('Données projet'!$B$9,Paramètres!$A$1:$I$89,3,0)*0.475*44/12</f>
        <v>8.7749216383305857</v>
      </c>
      <c r="AB18" s="21">
        <f>EXP(-LN(2)/2)*AB17+(1-EXP(-LN(2)/2))/(LN(2)/2)*V18*Y18*VLOOKUP('Données projet'!$B$9,Paramètres!$A$1:$I$89,3,0)*0.475*44/12</f>
        <v>10.633019952530546</v>
      </c>
      <c r="AC18" s="22">
        <f t="shared" si="3"/>
        <v>23.323323112380045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68</v>
      </c>
      <c r="AG18" s="12">
        <f>VLOOKUP(A18,'Données projet'!$A$61:$I$81,9,0)</f>
        <v>4.5333333333333332</v>
      </c>
      <c r="AH18" s="12">
        <f t="array" ref="AH18">INDEX(AG:AG,MIN(IF(ISNUMBER(AG18:AG214),ROW(AG18:AG214),"")))</f>
        <v>4.5333333333333332</v>
      </c>
      <c r="AI18" s="13">
        <f>IF('Données projet'!$A$62&gt;35,AI17+AH18-AQ17,IF(A18&lt;'Données projet'!$A$62,$AF$205^A18,IF(A18='Données projet'!$A$62,'Données projet'!$B$62,AI17+AH18-AQ17)))</f>
        <v>68</v>
      </c>
      <c r="AJ18" s="13">
        <f>AI18*VLOOKUP('Données projet'!$B$10,Paramètres!$A$1:$I$89,3,0)*VLOOKUP('Données projet'!$B$10,Paramètres!$A$1:$I$89,5,0)</f>
        <v>30.056000000000001</v>
      </c>
      <c r="AK18" s="13">
        <f t="shared" si="35"/>
        <v>9.3207757069067334</v>
      </c>
      <c r="AL18" s="20">
        <f t="shared" si="4"/>
        <v>68.581217689529225</v>
      </c>
      <c r="AM18" s="59">
        <f t="shared" si="5"/>
        <v>361.91455102286255</v>
      </c>
      <c r="AN18" s="59">
        <f ca="1">AVERAGE(OFFSET($AM$3,0,0,'Données projet'!$E$10+1,1))-AVERAGE(OFFSET($H$3,0,0,'Données projet'!$E$10+1,1))</f>
        <v>343.36665824683809</v>
      </c>
      <c r="AO18" s="59">
        <f t="shared" si="36"/>
        <v>342.89042241858527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0.30800000000000005</v>
      </c>
      <c r="AT18" s="16">
        <f>IF(ISNA(VLOOKUP(A18,'Données projet'!$A$61:$I$81,7,0)),0%,VLOOKUP(A18,'Données projet'!$A$61:$I$81,7,0))</f>
        <v>0.44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98</v>
      </c>
      <c r="BB18" s="12">
        <f>VLOOKUP(A18,'Données projet'!$A$87:$I$107,9,0)</f>
        <v>12.4</v>
      </c>
      <c r="BC18" s="12">
        <f t="array" ref="BC18">INDEX(BB:BB,MIN(IF(ISNUMBER(BB18:BB214),ROW(BB18:BB214),"")))</f>
        <v>12.4</v>
      </c>
      <c r="BD18" s="12">
        <f>IF('Données projet'!$A$88&gt;35,BD17+BC18-BL17,IF(A18&lt;'Données projet'!$A$88,$BA$205^A18,IF(A18='Données projet'!$A$88,'Données projet'!$B$88,BD17+BC18-BL17)))</f>
        <v>98.000000000000014</v>
      </c>
      <c r="BE18" s="13">
        <f>BD18*VLOOKUP('Données projet'!$B$11,Paramètres!$A$1:$I$89,3,0)*VLOOKUP('Données projet'!$B$11,Paramètres!$A$1:$I$89,5,0)</f>
        <v>53.50800000000001</v>
      </c>
      <c r="BF18" s="13">
        <f t="shared" si="37"/>
        <v>15.516109807666385</v>
      </c>
      <c r="BG18" s="20">
        <f t="shared" si="7"/>
        <v>120.21699124835231</v>
      </c>
      <c r="BH18" s="59">
        <f t="shared" si="8"/>
        <v>413.55032458168563</v>
      </c>
      <c r="BI18" s="59">
        <f ca="1">AVERAGE(OFFSET($BH$3,0,0,'Données projet'!$E$11+1,1))-AVERAGE(OFFSET($H$3,0,0,'Données projet'!$E$11+1,1))</f>
        <v>191.96190073146369</v>
      </c>
      <c r="BJ18" s="59">
        <f t="shared" si="38"/>
        <v>224.0560835232115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39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0.33600000000000002</v>
      </c>
      <c r="BO18" s="16">
        <f>IF(ISNA(VLOOKUP(A18,'Données projet'!$A$87:$I$107,7,0)),0%,VLOOKUP(A18,'Données projet'!$A$87:$I$107,7,0))</f>
        <v>0.44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9.4539113464973905</v>
      </c>
      <c r="BR18" s="21">
        <f>EXP(-LN(2)/2)*BR17+(1-EXP(-LN(2)/2))/(LN(2)/2)*BL18*BO18*VLOOKUP('Données projet'!$B$11,Paramètres!$A$1:$I$89,3,0)*0.475*44/12</f>
        <v>10.608291999152568</v>
      </c>
      <c r="BS18" s="22">
        <f t="shared" si="9"/>
        <v>20.062203345649959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26.6</v>
      </c>
      <c r="N19" s="13">
        <f>IF('Données projet'!$A$36&gt;35,N18+M19-V18,IF(A19&lt;'Données projet'!$A$36,$K$205^A19,IF(A19='Données projet'!$A$36,'Données projet'!$B$36,N18+M19-V18)))</f>
        <v>119.6</v>
      </c>
      <c r="O19" s="13">
        <f>N19*VLOOKUP('Données projet'!$B$9,Paramètres!$A$1:$I$89,3,0)*VLOOKUP('Données projet'!$B$9,Paramètres!$A$1:$I$89,5,0)</f>
        <v>66.856399999999994</v>
      </c>
      <c r="P19" s="13">
        <f t="shared" si="33"/>
        <v>18.890715552052335</v>
      </c>
      <c r="Q19" s="20">
        <f t="shared" si="2"/>
        <v>149.34289291982446</v>
      </c>
      <c r="R19" s="59">
        <f t="shared" si="0"/>
        <v>442.67622625315778</v>
      </c>
      <c r="S19" s="59">
        <f ca="1">AVERAGE(OFFSET($R$3,0,0,'Données projet'!$E$9+1,1))-AVERAGE(OFFSET($H$3,0,0,'Données projet'!$E$9+1,1))</f>
        <v>410.71046306000068</v>
      </c>
      <c r="T19" s="59">
        <f t="shared" si="34"/>
        <v>430.43167430170087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3.8386032780288453</v>
      </c>
      <c r="AA19" s="21">
        <f>EXP(-LN(2)/25)*AA18+(1-EXP(-LN(2)/25))/(LN(2)/25)*Calculateur!V19*Calculateur!X19*VLOOKUP('Données projet'!$B$9,Paramètres!$A$1:$I$89,3,0)*0.475*44/12</f>
        <v>8.5349709446773616</v>
      </c>
      <c r="AB19" s="21">
        <f>EXP(-LN(2)/2)*AB18+(1-EXP(-LN(2)/2))/(LN(2)/2)*V19*Y19*VLOOKUP('Données projet'!$B$9,Paramètres!$A$1:$I$89,3,0)*0.475*44/12</f>
        <v>7.5186805129262115</v>
      </c>
      <c r="AC19" s="22">
        <f t="shared" si="3"/>
        <v>19.89225473563242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25.6</v>
      </c>
      <c r="AI19" s="13">
        <f>IF('Données projet'!$A$62&gt;35,AI18+AH19-AQ18,IF(A19&lt;'Données projet'!$A$62,$AF$205^A19,IF(A19='Données projet'!$A$62,'Données projet'!$B$62,AI18+AH19-AQ18)))</f>
        <v>93.6</v>
      </c>
      <c r="AJ19" s="13">
        <f>AI19*VLOOKUP('Données projet'!$B$10,Paramètres!$A$1:$I$89,3,0)*VLOOKUP('Données projet'!$B$10,Paramètres!$A$1:$I$89,5,0)</f>
        <v>41.371200000000002</v>
      </c>
      <c r="AK19" s="13">
        <f t="shared" si="35"/>
        <v>12.361367612157643</v>
      </c>
      <c r="AL19" s="20">
        <f t="shared" si="4"/>
        <v>93.584221924507901</v>
      </c>
      <c r="AM19" s="59">
        <f t="shared" si="5"/>
        <v>386.91755525784123</v>
      </c>
      <c r="AN19" s="59">
        <f ca="1">AVERAGE(OFFSET($AM$3,0,0,'Données projet'!$E$10+1,1))-AVERAGE(OFFSET($H$3,0,0,'Données projet'!$E$10+1,1))</f>
        <v>343.36665824683809</v>
      </c>
      <c r="AO19" s="59">
        <f t="shared" si="36"/>
        <v>342.89042241858527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15.8</v>
      </c>
      <c r="BD19" s="12">
        <f>IF('Données projet'!$A$88&gt;35,BD18+BC19-BL18,IF(A19&lt;'Données projet'!$A$88,$BA$205^A19,IF(A19='Données projet'!$A$88,'Données projet'!$B$88,BD18+BC19-BL18)))</f>
        <v>74.800000000000011</v>
      </c>
      <c r="BE19" s="13">
        <f>BD19*VLOOKUP('Données projet'!$B$11,Paramètres!$A$1:$I$89,3,0)*VLOOKUP('Données projet'!$B$11,Paramètres!$A$1:$I$89,5,0)</f>
        <v>40.840800000000009</v>
      </c>
      <c r="BF19" s="13">
        <f t="shared" si="37"/>
        <v>12.221230516783256</v>
      </c>
      <c r="BG19" s="20">
        <f t="shared" si="7"/>
        <v>92.416369816730835</v>
      </c>
      <c r="BH19" s="59">
        <f t="shared" si="8"/>
        <v>385.74970315006414</v>
      </c>
      <c r="BI19" s="59">
        <f ca="1">AVERAGE(OFFSET($BH$3,0,0,'Données projet'!$E$11+1,1))-AVERAGE(OFFSET($H$3,0,0,'Données projet'!$E$11+1,1))</f>
        <v>191.96190073146369</v>
      </c>
      <c r="BJ19" s="59">
        <f t="shared" si="38"/>
        <v>224.0560835232115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9.1953936435678294</v>
      </c>
      <c r="BR19" s="21">
        <f>EXP(-LN(2)/2)*BR18+(1-EXP(-LN(2)/2))/(LN(2)/2)*BL19*BO19*VLOOKUP('Données projet'!$B$11,Paramètres!$A$1:$I$89,3,0)*0.475*44/12</f>
        <v>7.5011952094077783</v>
      </c>
      <c r="BS19" s="22">
        <f t="shared" si="9"/>
        <v>16.696588852975609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26.6</v>
      </c>
      <c r="N20" s="13">
        <f>IF('Données projet'!$A$36&gt;35,N19+M20-V19,IF(A20&lt;'Données projet'!$A$36,$K$205^A20,IF(A20='Données projet'!$A$36,'Données projet'!$B$36,N19+M20-V19)))</f>
        <v>146.19999999999999</v>
      </c>
      <c r="O20" s="13">
        <f>N20*VLOOKUP('Données projet'!$B$9,Paramètres!$A$1:$I$89,3,0)*VLOOKUP('Données projet'!$B$9,Paramètres!$A$1:$I$89,5,0)</f>
        <v>81.725799999999992</v>
      </c>
      <c r="P20" s="13">
        <f t="shared" si="33"/>
        <v>22.558625617847014</v>
      </c>
      <c r="Q20" s="20">
        <f t="shared" si="2"/>
        <v>181.6287079510835</v>
      </c>
      <c r="R20" s="59">
        <f t="shared" si="0"/>
        <v>474.96204128441684</v>
      </c>
      <c r="S20" s="59">
        <f ca="1">AVERAGE(OFFSET($R$3,0,0,'Données projet'!$E$9+1,1))-AVERAGE(OFFSET($H$3,0,0,'Données projet'!$E$9+1,1))</f>
        <v>410.71046306000068</v>
      </c>
      <c r="T20" s="59">
        <f t="shared" si="34"/>
        <v>430.43167430170087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3.7633306090635132</v>
      </c>
      <c r="AA20" s="21">
        <f>EXP(-LN(2)/25)*AA19+(1-EXP(-LN(2)/25))/(LN(2)/25)*Calculateur!V20*Calculateur!X20*VLOOKUP('Données projet'!$B$9,Paramètres!$A$1:$I$89,3,0)*0.475*44/12</f>
        <v>8.3015817153605447</v>
      </c>
      <c r="AB20" s="21">
        <f>EXP(-LN(2)/2)*AB19+(1-EXP(-LN(2)/2))/(LN(2)/2)*V20*Y20*VLOOKUP('Données projet'!$B$9,Paramètres!$A$1:$I$89,3,0)*0.475*44/12</f>
        <v>5.3165099762652739</v>
      </c>
      <c r="AC20" s="22">
        <f t="shared" si="3"/>
        <v>17.38142230068933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25.6</v>
      </c>
      <c r="AI20" s="13">
        <f>IF('Données projet'!$A$62&gt;35,AI19+AH20-AQ19,IF(A20&lt;'Données projet'!$A$62,$AF$205^A20,IF(A20='Données projet'!$A$62,'Données projet'!$B$62,AI19+AH20-AQ19)))</f>
        <v>119.19999999999999</v>
      </c>
      <c r="AJ20" s="13">
        <f>AI20*VLOOKUP('Données projet'!$B$10,Paramètres!$A$1:$I$89,3,0)*VLOOKUP('Données projet'!$B$10,Paramètres!$A$1:$I$89,5,0)</f>
        <v>52.686399999999999</v>
      </c>
      <c r="AK20" s="13">
        <f t="shared" si="35"/>
        <v>15.305406948372099</v>
      </c>
      <c r="AL20" s="20">
        <f t="shared" si="4"/>
        <v>118.41906376841473</v>
      </c>
      <c r="AM20" s="59">
        <f t="shared" si="5"/>
        <v>411.75239710174804</v>
      </c>
      <c r="AN20" s="59">
        <f ca="1">AVERAGE(OFFSET($AM$3,0,0,'Données projet'!$E$10+1,1))-AVERAGE(OFFSET($H$3,0,0,'Données projet'!$E$10+1,1))</f>
        <v>343.36665824683809</v>
      </c>
      <c r="AO20" s="59">
        <f t="shared" si="36"/>
        <v>342.89042241858527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15.8</v>
      </c>
      <c r="BD20" s="12">
        <f>IF('Données projet'!$A$88&gt;35,BD19+BC20-BL19,IF(A20&lt;'Données projet'!$A$88,$BA$205^A20,IF(A20='Données projet'!$A$88,'Données projet'!$B$88,BD19+BC20-BL19)))</f>
        <v>90.600000000000009</v>
      </c>
      <c r="BE20" s="13">
        <f>BD20*VLOOKUP('Données projet'!$B$11,Paramètres!$A$1:$I$89,3,0)*VLOOKUP('Données projet'!$B$11,Paramètres!$A$1:$I$89,5,0)</f>
        <v>49.467600000000004</v>
      </c>
      <c r="BF20" s="13">
        <f t="shared" si="37"/>
        <v>14.476179494944809</v>
      </c>
      <c r="BG20" s="20">
        <f t="shared" si="7"/>
        <v>111.36874928702889</v>
      </c>
      <c r="BH20" s="59">
        <f t="shared" si="8"/>
        <v>404.70208262036221</v>
      </c>
      <c r="BI20" s="59">
        <f ca="1">AVERAGE(OFFSET($BH$3,0,0,'Données projet'!$E$11+1,1))-AVERAGE(OFFSET($H$3,0,0,'Données projet'!$E$11+1,1))</f>
        <v>191.96190073146369</v>
      </c>
      <c r="BJ20" s="59">
        <f t="shared" si="38"/>
        <v>224.0560835232115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8.9439451208197323</v>
      </c>
      <c r="BR20" s="21">
        <f>EXP(-LN(2)/2)*BR19+(1-EXP(-LN(2)/2))/(LN(2)/2)*BL20*BO20*VLOOKUP('Données projet'!$B$11,Paramètres!$A$1:$I$89,3,0)*0.475*44/12</f>
        <v>5.304145999576285</v>
      </c>
      <c r="BS20" s="22">
        <f t="shared" si="9"/>
        <v>14.248091120396017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26.6</v>
      </c>
      <c r="N21" s="13">
        <f>IF('Données projet'!$A$36&gt;35,N20+M21-V20,IF(A21&lt;'Données projet'!$A$36,$K$205^A21,IF(A21='Données projet'!$A$36,'Données projet'!$B$36,N20+M21-V20)))</f>
        <v>172.79999999999998</v>
      </c>
      <c r="O21" s="13">
        <f>N21*VLOOKUP('Données projet'!$B$9,Paramètres!$A$1:$I$89,3,0)*VLOOKUP('Données projet'!$B$9,Paramètres!$A$1:$I$89,5,0)</f>
        <v>96.595199999999991</v>
      </c>
      <c r="P21" s="13">
        <f t="shared" si="33"/>
        <v>26.149222795600728</v>
      </c>
      <c r="Q21" s="20">
        <f t="shared" si="2"/>
        <v>213.77986970233792</v>
      </c>
      <c r="R21" s="59">
        <f t="shared" si="0"/>
        <v>507.11320303567123</v>
      </c>
      <c r="S21" s="59">
        <f ca="1">AVERAGE(OFFSET($R$3,0,0,'Données projet'!$E$9+1,1))-AVERAGE(OFFSET($H$3,0,0,'Données projet'!$E$9+1,1))</f>
        <v>410.71046306000068</v>
      </c>
      <c r="T21" s="59">
        <f t="shared" si="34"/>
        <v>430.43167430170087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3.6895339912247969</v>
      </c>
      <c r="AA21" s="21">
        <f>EXP(-LN(2)/25)*AA20+(1-EXP(-LN(2)/25))/(LN(2)/25)*Calculateur!V21*Calculateur!X21*VLOOKUP('Données projet'!$B$9,Paramètres!$A$1:$I$89,3,0)*0.475*44/12</f>
        <v>8.0745745267928015</v>
      </c>
      <c r="AB21" s="21">
        <f>EXP(-LN(2)/2)*AB20+(1-EXP(-LN(2)/2))/(LN(2)/2)*V21*Y21*VLOOKUP('Données projet'!$B$9,Paramètres!$A$1:$I$89,3,0)*0.475*44/12</f>
        <v>3.7593402564631062</v>
      </c>
      <c r="AC21" s="22">
        <f t="shared" si="3"/>
        <v>15.523448774480705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25.6</v>
      </c>
      <c r="AI21" s="13">
        <f>IF('Données projet'!$A$62&gt;35,AI20+AH21-AQ20,IF(A21&lt;'Données projet'!$A$62,$AF$205^A21,IF(A21='Données projet'!$A$62,'Données projet'!$B$62,AI20+AH21-AQ20)))</f>
        <v>144.79999999999998</v>
      </c>
      <c r="AJ21" s="13">
        <f>AI21*VLOOKUP('Données projet'!$B$10,Paramètres!$A$1:$I$89,3,0)*VLOOKUP('Données projet'!$B$10,Paramètres!$A$1:$I$89,5,0)</f>
        <v>64.001599999999996</v>
      </c>
      <c r="AK21" s="13">
        <f t="shared" si="35"/>
        <v>18.176166122887512</v>
      </c>
      <c r="AL21" s="20">
        <f t="shared" si="4"/>
        <v>143.1262759973624</v>
      </c>
      <c r="AM21" s="59">
        <f t="shared" si="5"/>
        <v>436.45960933069568</v>
      </c>
      <c r="AN21" s="59">
        <f ca="1">AVERAGE(OFFSET($AM$3,0,0,'Données projet'!$E$10+1,1))-AVERAGE(OFFSET($H$3,0,0,'Données projet'!$E$10+1,1))</f>
        <v>343.36665824683809</v>
      </c>
      <c r="AO21" s="59">
        <f t="shared" si="36"/>
        <v>342.89042241858527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15.8</v>
      </c>
      <c r="BD21" s="12">
        <f>IF('Données projet'!$A$88&gt;35,BD20+BC21-BL20,IF(A21&lt;'Données projet'!$A$88,$BA$205^A21,IF(A21='Données projet'!$A$88,'Données projet'!$B$88,BD20+BC21-BL20)))</f>
        <v>106.4</v>
      </c>
      <c r="BE21" s="13">
        <f>BD21*VLOOKUP('Données projet'!$B$11,Paramètres!$A$1:$I$89,3,0)*VLOOKUP('Données projet'!$B$11,Paramètres!$A$1:$I$89,5,0)</f>
        <v>58.094400000000007</v>
      </c>
      <c r="BF21" s="13">
        <f t="shared" si="37"/>
        <v>16.6855722721399</v>
      </c>
      <c r="BG21" s="20">
        <f t="shared" si="7"/>
        <v>130.24178504064366</v>
      </c>
      <c r="BH21" s="59">
        <f t="shared" si="8"/>
        <v>423.57511837397698</v>
      </c>
      <c r="BI21" s="59">
        <f ca="1">AVERAGE(OFFSET($BH$3,0,0,'Données projet'!$E$11+1,1))-AVERAGE(OFFSET($H$3,0,0,'Données projet'!$E$11+1,1))</f>
        <v>191.96190073146369</v>
      </c>
      <c r="BJ21" s="59">
        <f t="shared" si="38"/>
        <v>224.0560835232115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8.6993724711492852</v>
      </c>
      <c r="BR21" s="21">
        <f>EXP(-LN(2)/2)*BR20+(1-EXP(-LN(2)/2))/(LN(2)/2)*BL21*BO21*VLOOKUP('Données projet'!$B$11,Paramètres!$A$1:$I$89,3,0)*0.475*44/12</f>
        <v>3.7505976047038896</v>
      </c>
      <c r="BS21" s="22">
        <f t="shared" si="9"/>
        <v>12.449970075853175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26.6</v>
      </c>
      <c r="N22" s="13">
        <f>IF('Données projet'!$A$36&gt;35,N21+M22-V21,IF(A22&lt;'Données projet'!$A$36,$K$205^A22,IF(A22='Données projet'!$A$36,'Données projet'!$B$36,N21+M22-V21)))</f>
        <v>199.39999999999998</v>
      </c>
      <c r="O22" s="13">
        <f>N22*VLOOKUP('Données projet'!$B$9,Paramètres!$A$1:$I$89,3,0)*VLOOKUP('Données projet'!$B$9,Paramètres!$A$1:$I$89,5,0)</f>
        <v>111.46459999999999</v>
      </c>
      <c r="P22" s="13">
        <f t="shared" si="33"/>
        <v>29.675789673741136</v>
      </c>
      <c r="Q22" s="20">
        <f t="shared" si="2"/>
        <v>245.81951201509912</v>
      </c>
      <c r="R22" s="59">
        <f t="shared" si="0"/>
        <v>539.15284534843249</v>
      </c>
      <c r="S22" s="59">
        <f ca="1">AVERAGE(OFFSET($R$3,0,0,'Données projet'!$E$9+1,1))-AVERAGE(OFFSET($H$3,0,0,'Données projet'!$E$9+1,1))</f>
        <v>410.71046306000068</v>
      </c>
      <c r="T22" s="59">
        <f t="shared" si="34"/>
        <v>430.43167430170087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3.6171844800504052</v>
      </c>
      <c r="AA22" s="21">
        <f>EXP(-LN(2)/25)*AA21+(1-EXP(-LN(2)/25))/(LN(2)/25)*Calculateur!V22*Calculateur!X22*VLOOKUP('Données projet'!$B$9,Paramètres!$A$1:$I$89,3,0)*0.475*44/12</f>
        <v>7.8537748617342329</v>
      </c>
      <c r="AB22" s="21">
        <f>EXP(-LN(2)/2)*AB21+(1-EXP(-LN(2)/2))/(LN(2)/2)*V22*Y22*VLOOKUP('Données projet'!$B$9,Paramètres!$A$1:$I$89,3,0)*0.475*44/12</f>
        <v>2.6582549881326374</v>
      </c>
      <c r="AC22" s="22">
        <f t="shared" si="3"/>
        <v>14.129214329917275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25.6</v>
      </c>
      <c r="AI22" s="13">
        <f>IF('Données projet'!$A$62&gt;35,AI21+AH22-AQ21,IF(A22&lt;'Données projet'!$A$62,$AF$205^A22,IF(A22='Données projet'!$A$62,'Données projet'!$B$62,AI21+AH22-AQ21)))</f>
        <v>170.39999999999998</v>
      </c>
      <c r="AJ22" s="13">
        <f>AI22*VLOOKUP('Données projet'!$B$10,Paramètres!$A$1:$I$89,3,0)*VLOOKUP('Données projet'!$B$10,Paramètres!$A$1:$I$89,5,0)</f>
        <v>75.316800000000001</v>
      </c>
      <c r="AK22" s="13">
        <f t="shared" si="35"/>
        <v>20.988128387144968</v>
      </c>
      <c r="AL22" s="20">
        <f t="shared" si="4"/>
        <v>167.73108360761083</v>
      </c>
      <c r="AM22" s="59">
        <f t="shared" si="5"/>
        <v>461.06441694094417</v>
      </c>
      <c r="AN22" s="59">
        <f ca="1">AVERAGE(OFFSET($AM$3,0,0,'Données projet'!$E$10+1,1))-AVERAGE(OFFSET($H$3,0,0,'Données projet'!$E$10+1,1))</f>
        <v>343.36665824683809</v>
      </c>
      <c r="AO22" s="59">
        <f t="shared" si="36"/>
        <v>342.89042241858527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15.8</v>
      </c>
      <c r="BD22" s="12">
        <f>IF('Données projet'!$A$88&gt;35,BD21+BC22-BL21,IF(A22&lt;'Données projet'!$A$88,$BA$205^A22,IF(A22='Données projet'!$A$88,'Données projet'!$B$88,BD21+BC22-BL21)))</f>
        <v>122.2</v>
      </c>
      <c r="BE22" s="13">
        <f>BD22*VLOOKUP('Données projet'!$B$11,Paramètres!$A$1:$I$89,3,0)*VLOOKUP('Données projet'!$B$11,Paramètres!$A$1:$I$89,5,0)</f>
        <v>66.721199999999996</v>
      </c>
      <c r="BF22" s="13">
        <f t="shared" si="37"/>
        <v>18.856956599005905</v>
      </c>
      <c r="BG22" s="20">
        <f t="shared" si="7"/>
        <v>149.0486227432686</v>
      </c>
      <c r="BH22" s="59">
        <f t="shared" si="8"/>
        <v>442.38195607660191</v>
      </c>
      <c r="BI22" s="59">
        <f ca="1">AVERAGE(OFFSET($BH$3,0,0,'Données projet'!$E$11+1,1))-AVERAGE(OFFSET($H$3,0,0,'Données projet'!$E$11+1,1))</f>
        <v>191.96190073146369</v>
      </c>
      <c r="BJ22" s="59">
        <f t="shared" si="38"/>
        <v>224.0560835232115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8.4614876734455926</v>
      </c>
      <c r="BR22" s="21">
        <f>EXP(-LN(2)/2)*BR21+(1-EXP(-LN(2)/2))/(LN(2)/2)*BL22*BO22*VLOOKUP('Données projet'!$B$11,Paramètres!$A$1:$I$89,3,0)*0.475*44/12</f>
        <v>2.6520729997881425</v>
      </c>
      <c r="BS22" s="22">
        <f t="shared" si="9"/>
        <v>11.113560673233735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226</v>
      </c>
      <c r="L23" s="12">
        <f>VLOOKUP(A23,'Données projet'!$A$35:$I$55,9,0)</f>
        <v>26.6</v>
      </c>
      <c r="M23" s="12">
        <f t="array" ref="M23">INDEX(L:L,MIN(IF(ISNUMBER(L23:L219),ROW(L23:L219),"")))</f>
        <v>26.6</v>
      </c>
      <c r="N23" s="13">
        <f>IF('Données projet'!$A$36&gt;35,N22+M23-V22,IF(A23&lt;'Données projet'!$A$36,$K$205^A23,IF(A23='Données projet'!$A$36,'Données projet'!$B$36,N22+M23-V22)))</f>
        <v>225.99999999999997</v>
      </c>
      <c r="O23" s="13">
        <f>N23*VLOOKUP('Données projet'!$B$9,Paramètres!$A$1:$I$89,3,0)*VLOOKUP('Données projet'!$B$9,Paramètres!$A$1:$I$89,5,0)</f>
        <v>126.33399999999999</v>
      </c>
      <c r="P23" s="13">
        <f t="shared" si="33"/>
        <v>33.147849254556313</v>
      </c>
      <c r="Q23" s="20">
        <f t="shared" si="2"/>
        <v>277.76422078501889</v>
      </c>
      <c r="R23" s="59">
        <f t="shared" si="0"/>
        <v>571.09755411835226</v>
      </c>
      <c r="S23" s="59">
        <f ca="1">AVERAGE(OFFSET($R$3,0,0,'Données projet'!$E$9+1,1))-AVERAGE(OFFSET($H$3,0,0,'Données projet'!$E$9+1,1))</f>
        <v>410.71046306000068</v>
      </c>
      <c r="T23" s="59">
        <f t="shared" si="34"/>
        <v>430.43167430170087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77</v>
      </c>
      <c r="W23" s="16">
        <f>IF(ISNA(VLOOKUP(A23,'Données projet'!$A$35:$I$55,5,0)),0%,VLOOKUP(A23,'Données projet'!$A$35:$I$55,5,0)*VLOOKUP('Données projet'!$B$9,Paramètres!$A$1:$I$89,7,0))</f>
        <v>0.22000000000000003</v>
      </c>
      <c r="X23" s="16">
        <f>IF(ISNA(VLOOKUP(A23,'Données projet'!$A$35:$I$55,6,0)),0%,VLOOKUP(A23,'Données projet'!$A$35:$I$55,6,0)*VLOOKUP('Données projet'!$B$9,Paramètres!$A$1:$I$89,7,0))</f>
        <v>0.18700000000000003</v>
      </c>
      <c r="Y23" s="16">
        <f>IF(ISNA(VLOOKUP(A23,'Données projet'!$A$35:$I$55,7,0)),0%,VLOOKUP(A23,'Données projet'!$A$35:$I$55,7,0))</f>
        <v>0.26</v>
      </c>
      <c r="Z23" s="21">
        <f>EXP(-LN(2)/35)*Z22+(1-EXP(-LN(2)/35))/(LN(2)/35)*V23*W23*VLOOKUP('Données projet'!$B$9,Paramètres!$A$1:$I$89,3,0)*0.475*44/12</f>
        <v>16.108102746867804</v>
      </c>
      <c r="AA23" s="21">
        <f>EXP(-LN(2)/25)*AA22+(1-EXP(-LN(2)/25))/(LN(2)/25)*Calculateur!V23*Calculateur!X23*VLOOKUP('Données projet'!$B$9,Paramètres!$A$1:$I$89,3,0)*0.475*44/12</f>
        <v>18.274542997882428</v>
      </c>
      <c r="AB23" s="21">
        <f>EXP(-LN(2)/2)*AB22+(1-EXP(-LN(2)/2))/(LN(2)/2)*V23*Y23*VLOOKUP('Données projet'!$B$9,Paramètres!$A$1:$I$89,3,0)*0.475*44/12</f>
        <v>14.550685571663788</v>
      </c>
      <c r="AC23" s="22">
        <f t="shared" si="3"/>
        <v>48.933331316414026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196</v>
      </c>
      <c r="AG23" s="12">
        <f>VLOOKUP(A23,'Données projet'!$A$61:$I$81,9,0)</f>
        <v>25.6</v>
      </c>
      <c r="AH23" s="12">
        <f t="array" ref="AH23">INDEX(AG:AG,MIN(IF(ISNUMBER(AG23:AG219),ROW(AG23:AG219),"")))</f>
        <v>25.6</v>
      </c>
      <c r="AI23" s="13">
        <f>IF('Données projet'!$A$62&gt;35,AI22+AH23-AQ22,IF(A23&lt;'Données projet'!$A$62,$AF$205^A23,IF(A23='Données projet'!$A$62,'Données projet'!$B$62,AI22+AH23-AQ22)))</f>
        <v>195.99999999999997</v>
      </c>
      <c r="AJ23" s="13">
        <f>AI23*VLOOKUP('Données projet'!$B$10,Paramètres!$A$1:$I$89,3,0)*VLOOKUP('Données projet'!$B$10,Paramètres!$A$1:$I$89,5,0)</f>
        <v>86.632000000000005</v>
      </c>
      <c r="AK23" s="13">
        <f t="shared" si="35"/>
        <v>23.751150233480999</v>
      </c>
      <c r="AL23" s="20">
        <f t="shared" si="4"/>
        <v>192.25065332331272</v>
      </c>
      <c r="AM23" s="59">
        <f t="shared" si="5"/>
        <v>485.58398665664606</v>
      </c>
      <c r="AN23" s="59">
        <f ca="1">AVERAGE(OFFSET($AM$3,0,0,'Données projet'!$E$10+1,1))-AVERAGE(OFFSET($H$3,0,0,'Données projet'!$E$10+1,1))</f>
        <v>343.36665824683809</v>
      </c>
      <c r="AO23" s="59">
        <f t="shared" si="36"/>
        <v>342.89042241858527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74</v>
      </c>
      <c r="AR23" s="16">
        <f>IF(ISNA(VLOOKUP(A23,'Données projet'!$A$61:$I$81,5,0)),0%,VLOOKUP(A23,'Données projet'!$A$61:$I$81,5,0)*VLOOKUP('Données projet'!$B$10,Paramètres!$A$1:$I$89,7,0))</f>
        <v>0.11000000000000001</v>
      </c>
      <c r="AS23" s="16">
        <f>IF(ISNA(VLOOKUP(A23,'Données projet'!$A$61:$I$81,6,0)),0%,VLOOKUP(A23,'Données projet'!$A$61:$I$81,6,0)*VLOOKUP('Données projet'!$B$10,Paramètres!$A$1:$I$89,7,0))</f>
        <v>0.24750000000000003</v>
      </c>
      <c r="AT23" s="16">
        <f>IF(ISNA(VLOOKUP(A23,'Données projet'!$A$61:$I$81,7,0)),0%,VLOOKUP(A23,'Données projet'!$A$61:$I$81,7,0))</f>
        <v>0.35</v>
      </c>
      <c r="AU23" s="21">
        <f>EXP(-LN(2)/35)*AU22+(1-EXP(-LN(2)/35))/(LN(2)/35)*AQ23*AR23*VLOOKUP('Données projet'!$B$10,Paramètres!$A$1:$I$89,3,0)*0.475*44/12</f>
        <v>4.7728197229368137</v>
      </c>
      <c r="AV23" s="21">
        <f>EXP(-LN(2)/25)*AV22+(1-EXP(-LN(2)/25))/(LN(2)/25)*Calculateur!AQ23*Calculateur!AS23*VLOOKUP('Données projet'!$B$10,Paramètres!$A$1:$I$89,3,0)*0.475*44/12</f>
        <v>10.696561454476623</v>
      </c>
      <c r="AW23" s="21">
        <f>EXP(-LN(2)/2)*AW22+(1-EXP(-LN(2)/2))/(LN(2)/2)*AQ23*AT23*VLOOKUP('Données projet'!$B$10,Paramètres!$A$1:$I$89,3,0)*0.475*44/12</f>
        <v>12.961568895623474</v>
      </c>
      <c r="AX23" s="21">
        <f t="shared" si="6"/>
        <v>28.430950073036911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138</v>
      </c>
      <c r="BB23" s="12">
        <f>VLOOKUP(A23,'Données projet'!$A$87:$I$107,9,0)</f>
        <v>15.8</v>
      </c>
      <c r="BC23" s="12">
        <f t="array" ref="BC23">INDEX(BB:BB,MIN(IF(ISNUMBER(BB23:BB219),ROW(BB23:BB219),"")))</f>
        <v>15.8</v>
      </c>
      <c r="BD23" s="12">
        <f>IF('Données projet'!$A$88&gt;35,BD22+BC23-BL22,IF(A23&lt;'Données projet'!$A$88,$BA$205^A23,IF(A23='Données projet'!$A$88,'Données projet'!$B$88,BD22+BC23-BL22)))</f>
        <v>138</v>
      </c>
      <c r="BE23" s="13">
        <f>BD23*VLOOKUP('Données projet'!$B$11,Paramètres!$A$1:$I$89,3,0)*VLOOKUP('Données projet'!$B$11,Paramètres!$A$1:$I$89,5,0)</f>
        <v>75.347999999999999</v>
      </c>
      <c r="BF23" s="13">
        <f t="shared" si="37"/>
        <v>20.99581051771704</v>
      </c>
      <c r="BG23" s="20">
        <f t="shared" si="7"/>
        <v>167.79880331835713</v>
      </c>
      <c r="BH23" s="59">
        <f t="shared" si="8"/>
        <v>461.13213665169042</v>
      </c>
      <c r="BI23" s="59">
        <f ca="1">AVERAGE(OFFSET($BH$3,0,0,'Données projet'!$E$11+1,1))-AVERAGE(OFFSET($H$3,0,0,'Données projet'!$E$11+1,1))</f>
        <v>191.96190073146369</v>
      </c>
      <c r="BJ23" s="59">
        <f t="shared" si="38"/>
        <v>224.0560835232115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42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0.33600000000000002</v>
      </c>
      <c r="BO23" s="16">
        <f>IF(ISNA(VLOOKUP(A23,'Données projet'!$A$87:$I$107,7,0)),0%,VLOOKUP(A23,'Données projet'!$A$87:$I$107,7,0))</f>
        <v>0.44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18.411243144272884</v>
      </c>
      <c r="BR23" s="21">
        <f>EXP(-LN(2)/2)*BR22+(1-EXP(-LN(2)/2))/(LN(2)/2)*BL23*BO23*VLOOKUP('Données projet'!$B$11,Paramètres!$A$1:$I$89,3,0)*0.475*44/12</f>
        <v>13.29961326297779</v>
      </c>
      <c r="BS23" s="22">
        <f t="shared" si="9"/>
        <v>31.710856407250674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30.6</v>
      </c>
      <c r="N24" s="13">
        <f>IF('Données projet'!$A$36&gt;35,N23+M24-V23,IF(A24&lt;'Données projet'!$A$36,$K$205^A24,IF(A24='Données projet'!$A$36,'Données projet'!$B$36,N23+M24-V23)))</f>
        <v>179.59999999999997</v>
      </c>
      <c r="O24" s="13">
        <f>N24*VLOOKUP('Données projet'!$B$9,Paramètres!$A$1:$I$89,3,0)*VLOOKUP('Données projet'!$B$9,Paramètres!$A$1:$I$89,5,0)</f>
        <v>100.39639999999997</v>
      </c>
      <c r="P24" s="13">
        <f t="shared" si="33"/>
        <v>27.056412627169404</v>
      </c>
      <c r="Q24" s="20">
        <f t="shared" si="2"/>
        <v>221.98031532565332</v>
      </c>
      <c r="R24" s="59">
        <f t="shared" si="0"/>
        <v>515.31364865898661</v>
      </c>
      <c r="S24" s="59">
        <f ca="1">AVERAGE(OFFSET($R$3,0,0,'Données projet'!$E$9+1,1))-AVERAGE(OFFSET($H$3,0,0,'Données projet'!$E$9+1,1))</f>
        <v>410.71046306000068</v>
      </c>
      <c r="T24" s="59">
        <f t="shared" si="34"/>
        <v>430.43167430170087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15.792232676974265</v>
      </c>
      <c r="AA24" s="21">
        <f>EXP(-LN(2)/25)*AA23+(1-EXP(-LN(2)/25))/(LN(2)/25)*Calculateur!V24*Calculateur!X24*VLOOKUP('Données projet'!$B$9,Paramètres!$A$1:$I$89,3,0)*0.475*44/12</f>
        <v>17.774824658588884</v>
      </c>
      <c r="AB24" s="21">
        <f>EXP(-LN(2)/2)*AB23+(1-EXP(-LN(2)/2))/(LN(2)/2)*V24*Y24*VLOOKUP('Données projet'!$B$9,Paramètres!$A$1:$I$89,3,0)*0.475*44/12</f>
        <v>10.288888438636722</v>
      </c>
      <c r="AC24" s="22">
        <f t="shared" si="3"/>
        <v>43.855945774199867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34</v>
      </c>
      <c r="AI24" s="13">
        <f>IF('Données projet'!$A$62&gt;35,AI23+AH24-AQ23,IF(A24&lt;'Données projet'!$A$62,$AF$205^A24,IF(A24='Données projet'!$A$62,'Données projet'!$B$62,AI23+AH24-AQ23)))</f>
        <v>155.99999999999997</v>
      </c>
      <c r="AJ24" s="13">
        <f>AI24*VLOOKUP('Données projet'!$B$10,Paramètres!$A$1:$I$89,3,0)*VLOOKUP('Données projet'!$B$10,Paramètres!$A$1:$I$89,5,0)</f>
        <v>68.951999999999998</v>
      </c>
      <c r="AK24" s="13">
        <f t="shared" si="35"/>
        <v>19.412974191553594</v>
      </c>
      <c r="AL24" s="20">
        <f t="shared" si="4"/>
        <v>153.90233005028915</v>
      </c>
      <c r="AM24" s="59">
        <f t="shared" si="5"/>
        <v>447.23566338362247</v>
      </c>
      <c r="AN24" s="59">
        <f ca="1">AVERAGE(OFFSET($AM$3,0,0,'Données projet'!$E$10+1,1))-AVERAGE(OFFSET($H$3,0,0,'Données projet'!$E$10+1,1))</f>
        <v>343.36665824683809</v>
      </c>
      <c r="AO24" s="59">
        <f t="shared" si="36"/>
        <v>342.89042241858527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4.6792276393026029</v>
      </c>
      <c r="AV24" s="21">
        <f>EXP(-LN(2)/25)*AV23+(1-EXP(-LN(2)/25))/(LN(2)/25)*Calculateur!AQ24*Calculateur!AS24*VLOOKUP('Données projet'!$B$10,Paramètres!$A$1:$I$89,3,0)*0.475*44/12</f>
        <v>10.404063418996239</v>
      </c>
      <c r="AW24" s="21">
        <f>EXP(-LN(2)/2)*AW23+(1-EXP(-LN(2)/2))/(LN(2)/2)*AQ24*AT24*VLOOKUP('Données projet'!$B$10,Paramètres!$A$1:$I$89,3,0)*0.475*44/12</f>
        <v>9.1652132609119885</v>
      </c>
      <c r="AX24" s="21">
        <f t="shared" si="6"/>
        <v>24.248504319210831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16.8</v>
      </c>
      <c r="BD24" s="12">
        <f>IF('Données projet'!$A$88&gt;35,BD23+BC24-BL23,IF(A24&lt;'Données projet'!$A$88,$BA$205^A24,IF(A24='Données projet'!$A$88,'Données projet'!$B$88,BD23+BC24-BL23)))</f>
        <v>112.80000000000001</v>
      </c>
      <c r="BE24" s="13">
        <f>BD24*VLOOKUP('Données projet'!$B$11,Paramètres!$A$1:$I$89,3,0)*VLOOKUP('Données projet'!$B$11,Paramètres!$A$1:$I$89,5,0)</f>
        <v>61.588800000000006</v>
      </c>
      <c r="BF24" s="13">
        <f t="shared" si="37"/>
        <v>17.56935444538782</v>
      </c>
      <c r="BG24" s="20">
        <f t="shared" si="7"/>
        <v>137.86711899238378</v>
      </c>
      <c r="BH24" s="59">
        <f t="shared" si="8"/>
        <v>431.20045232571709</v>
      </c>
      <c r="BI24" s="59">
        <f ca="1">AVERAGE(OFFSET($BH$3,0,0,'Données projet'!$E$11+1,1))-AVERAGE(OFFSET($H$3,0,0,'Données projet'!$E$11+1,1))</f>
        <v>191.96190073146369</v>
      </c>
      <c r="BJ24" s="59">
        <f t="shared" si="38"/>
        <v>224.0560835232115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17.907786732287544</v>
      </c>
      <c r="BR24" s="21">
        <f>EXP(-LN(2)/2)*BR23+(1-EXP(-LN(2)/2))/(LN(2)/2)*BL24*BO24*VLOOKUP('Données projet'!$B$11,Paramètres!$A$1:$I$89,3,0)*0.475*44/12</f>
        <v>9.4042467254101414</v>
      </c>
      <c r="BS24" s="22">
        <f t="shared" si="9"/>
        <v>27.312033457697687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30.6</v>
      </c>
      <c r="N25" s="13">
        <f>IF('Données projet'!$A$36&gt;35,N24+M25-V24,IF(A25&lt;'Données projet'!$A$36,$K$205^A25,IF(A25='Données projet'!$A$36,'Données projet'!$B$36,N24+M25-V24)))</f>
        <v>210.19999999999996</v>
      </c>
      <c r="O25" s="13">
        <f>N25*VLOOKUP('Données projet'!$B$9,Paramètres!$A$1:$I$89,3,0)*VLOOKUP('Données projet'!$B$9,Paramètres!$A$1:$I$89,5,0)</f>
        <v>117.50179999999997</v>
      </c>
      <c r="P25" s="13">
        <f t="shared" si="33"/>
        <v>31.091623667301331</v>
      </c>
      <c r="Q25" s="20">
        <f t="shared" si="2"/>
        <v>258.80021288721645</v>
      </c>
      <c r="R25" s="59">
        <f t="shared" si="0"/>
        <v>552.13354622054976</v>
      </c>
      <c r="S25" s="59">
        <f ca="1">AVERAGE(OFFSET($R$3,0,0,'Données projet'!$E$9+1,1))-AVERAGE(OFFSET($H$3,0,0,'Données projet'!$E$9+1,1))</f>
        <v>410.71046306000068</v>
      </c>
      <c r="T25" s="59">
        <f t="shared" si="34"/>
        <v>430.43167430170087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15.482556626489622</v>
      </c>
      <c r="AA25" s="21">
        <f>EXP(-LN(2)/25)*AA24+(1-EXP(-LN(2)/25))/(LN(2)/25)*Calculateur!V25*Calculateur!X25*VLOOKUP('Données projet'!$B$9,Paramètres!$A$1:$I$89,3,0)*0.475*44/12</f>
        <v>17.288771143562368</v>
      </c>
      <c r="AB25" s="21">
        <f>EXP(-LN(2)/2)*AB24+(1-EXP(-LN(2)/2))/(LN(2)/2)*V25*Y25*VLOOKUP('Données projet'!$B$9,Paramètres!$A$1:$I$89,3,0)*0.475*44/12</f>
        <v>7.2753427858318958</v>
      </c>
      <c r="AC25" s="22">
        <f t="shared" si="3"/>
        <v>40.046670555883885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34</v>
      </c>
      <c r="AI25" s="13">
        <f>IF('Données projet'!$A$62&gt;35,AI24+AH25-AQ24,IF(A25&lt;'Données projet'!$A$62,$AF$205^A25,IF(A25='Données projet'!$A$62,'Données projet'!$B$62,AI24+AH25-AQ24)))</f>
        <v>189.99999999999997</v>
      </c>
      <c r="AJ25" s="13">
        <f>AI25*VLOOKUP('Données projet'!$B$10,Paramètres!$A$1:$I$89,3,0)*VLOOKUP('Données projet'!$B$10,Paramètres!$A$1:$I$89,5,0)</f>
        <v>83.97999999999999</v>
      </c>
      <c r="AK25" s="13">
        <f t="shared" si="35"/>
        <v>23.10754800124684</v>
      </c>
      <c r="AL25" s="20">
        <f t="shared" si="4"/>
        <v>186.51081276883824</v>
      </c>
      <c r="AM25" s="59">
        <f t="shared" si="5"/>
        <v>479.84414610217152</v>
      </c>
      <c r="AN25" s="59">
        <f ca="1">AVERAGE(OFFSET($AM$3,0,0,'Données projet'!$E$10+1,1))-AVERAGE(OFFSET($H$3,0,0,'Données projet'!$E$10+1,1))</f>
        <v>343.36665824683809</v>
      </c>
      <c r="AO25" s="59">
        <f t="shared" si="36"/>
        <v>342.89042241858527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4.5874708393429247</v>
      </c>
      <c r="AV25" s="21">
        <f>EXP(-LN(2)/25)*AV24+(1-EXP(-LN(2)/25))/(LN(2)/25)*Calculateur!AQ25*Calculateur!AS25*VLOOKUP('Données projet'!$B$10,Paramètres!$A$1:$I$89,3,0)*0.475*44/12</f>
        <v>10.11956375767787</v>
      </c>
      <c r="AW25" s="21">
        <f>EXP(-LN(2)/2)*AW24+(1-EXP(-LN(2)/2))/(LN(2)/2)*AQ25*AT25*VLOOKUP('Données projet'!$B$10,Paramètres!$A$1:$I$89,3,0)*0.475*44/12</f>
        <v>6.4807844478117378</v>
      </c>
      <c r="AX25" s="21">
        <f t="shared" si="6"/>
        <v>21.18781904483253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16.8</v>
      </c>
      <c r="BD25" s="12">
        <f>IF('Données projet'!$A$88&gt;35,BD24+BC25-BL24,IF(A25&lt;'Données projet'!$A$88,$BA$205^A25,IF(A25='Données projet'!$A$88,'Données projet'!$B$88,BD24+BC25-BL24)))</f>
        <v>129.60000000000002</v>
      </c>
      <c r="BE25" s="13">
        <f>BD25*VLOOKUP('Données projet'!$B$11,Paramètres!$A$1:$I$89,3,0)*VLOOKUP('Données projet'!$B$11,Paramètres!$A$1:$I$89,5,0)</f>
        <v>70.761600000000016</v>
      </c>
      <c r="BF25" s="13">
        <f t="shared" si="37"/>
        <v>19.862470414169767</v>
      </c>
      <c r="BG25" s="20">
        <f t="shared" si="7"/>
        <v>157.83692263801237</v>
      </c>
      <c r="BH25" s="59">
        <f t="shared" si="8"/>
        <v>451.17025597134568</v>
      </c>
      <c r="BI25" s="59">
        <f ca="1">AVERAGE(OFFSET($BH$3,0,0,'Données projet'!$E$11+1,1))-AVERAGE(OFFSET($H$3,0,0,'Données projet'!$E$11+1,1))</f>
        <v>191.96190073146369</v>
      </c>
      <c r="BJ25" s="59">
        <f t="shared" si="38"/>
        <v>224.0560835232115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17.418097362363564</v>
      </c>
      <c r="BR25" s="21">
        <f>EXP(-LN(2)/2)*BR24+(1-EXP(-LN(2)/2))/(LN(2)/2)*BL25*BO25*VLOOKUP('Données projet'!$B$11,Paramètres!$A$1:$I$89,3,0)*0.475*44/12</f>
        <v>6.6498066314888957</v>
      </c>
      <c r="BS25" s="22">
        <f t="shared" si="9"/>
        <v>24.067903993852461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30.6</v>
      </c>
      <c r="N26" s="13">
        <f>IF('Données projet'!$A$36&gt;35,N25+M26-V25,IF(A26&lt;'Données projet'!$A$36,$K$205^A26,IF(A26='Données projet'!$A$36,'Données projet'!$B$36,N25+M26-V25)))</f>
        <v>240.79999999999995</v>
      </c>
      <c r="O26" s="13">
        <f>N26*VLOOKUP('Données projet'!$B$9,Paramètres!$A$1:$I$89,3,0)*VLOOKUP('Données projet'!$B$9,Paramètres!$A$1:$I$89,5,0)</f>
        <v>134.60719999999998</v>
      </c>
      <c r="P26" s="13">
        <f t="shared" si="33"/>
        <v>35.058780580730314</v>
      </c>
      <c r="Q26" s="20">
        <f t="shared" si="2"/>
        <v>295.50158284477192</v>
      </c>
      <c r="R26" s="59">
        <f t="shared" si="0"/>
        <v>588.83491617810523</v>
      </c>
      <c r="S26" s="59">
        <f ca="1">AVERAGE(OFFSET($R$3,0,0,'Données projet'!$E$9+1,1))-AVERAGE(OFFSET($H$3,0,0,'Données projet'!$E$9+1,1))</f>
        <v>410.71046306000068</v>
      </c>
      <c r="T26" s="59">
        <f t="shared" si="34"/>
        <v>430.43167430170087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15.178953134471241</v>
      </c>
      <c r="AA26" s="21">
        <f>EXP(-LN(2)/25)*AA25+(1-EXP(-LN(2)/25))/(LN(2)/25)*Calculateur!V26*Calculateur!X26*VLOOKUP('Données projet'!$B$9,Paramètres!$A$1:$I$89,3,0)*0.475*44/12</f>
        <v>16.816008787464696</v>
      </c>
      <c r="AB26" s="21">
        <f>EXP(-LN(2)/2)*AB25+(1-EXP(-LN(2)/2))/(LN(2)/2)*V26*Y26*VLOOKUP('Données projet'!$B$9,Paramètres!$A$1:$I$89,3,0)*0.475*44/12</f>
        <v>5.1444442193183617</v>
      </c>
      <c r="AC26" s="22">
        <f t="shared" si="3"/>
        <v>37.139406141254298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34</v>
      </c>
      <c r="AI26" s="13">
        <f>IF('Données projet'!$A$62&gt;35,AI25+AH26-AQ25,IF(A26&lt;'Données projet'!$A$62,$AF$205^A26,IF(A26='Données projet'!$A$62,'Données projet'!$B$62,AI25+AH26-AQ25)))</f>
        <v>223.99999999999997</v>
      </c>
      <c r="AJ26" s="13">
        <f>AI26*VLOOKUP('Données projet'!$B$10,Paramètres!$A$1:$I$89,3,0)*VLOOKUP('Données projet'!$B$10,Paramètres!$A$1:$I$89,5,0)</f>
        <v>99.007999999999996</v>
      </c>
      <c r="AK26" s="13">
        <f t="shared" si="35"/>
        <v>26.725530277452449</v>
      </c>
      <c r="AL26" s="20">
        <f t="shared" si="4"/>
        <v>218.98589856656301</v>
      </c>
      <c r="AM26" s="59">
        <f t="shared" si="5"/>
        <v>512.31923189989629</v>
      </c>
      <c r="AN26" s="59">
        <f ca="1">AVERAGE(OFFSET($AM$3,0,0,'Données projet'!$E$10+1,1))-AVERAGE(OFFSET($H$3,0,0,'Données projet'!$E$10+1,1))</f>
        <v>343.36665824683809</v>
      </c>
      <c r="AO26" s="59">
        <f t="shared" si="36"/>
        <v>342.89042241858527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4.4975133342643341</v>
      </c>
      <c r="AV26" s="21">
        <f>EXP(-LN(2)/25)*AV25+(1-EXP(-LN(2)/25))/(LN(2)/25)*Calculateur!AQ26*Calculateur!AS26*VLOOKUP('Données projet'!$B$10,Paramètres!$A$1:$I$89,3,0)*0.475*44/12</f>
        <v>9.8428437545594392</v>
      </c>
      <c r="AW26" s="21">
        <f>EXP(-LN(2)/2)*AW25+(1-EXP(-LN(2)/2))/(LN(2)/2)*AQ26*AT26*VLOOKUP('Données projet'!$B$10,Paramètres!$A$1:$I$89,3,0)*0.475*44/12</f>
        <v>4.5826066304559951</v>
      </c>
      <c r="AX26" s="21">
        <f t="shared" si="6"/>
        <v>18.922963719279768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16.8</v>
      </c>
      <c r="BD26" s="12">
        <f>IF('Données projet'!$A$88&gt;35,BD25+BC26-BL25,IF(A26&lt;'Données projet'!$A$88,$BA$205^A26,IF(A26='Données projet'!$A$88,'Données projet'!$B$88,BD25+BC26-BL25)))</f>
        <v>146.40000000000003</v>
      </c>
      <c r="BE26" s="13">
        <f>BD26*VLOOKUP('Données projet'!$B$11,Paramètres!$A$1:$I$89,3,0)*VLOOKUP('Données projet'!$B$11,Paramètres!$A$1:$I$89,5,0)</f>
        <v>79.934400000000025</v>
      </c>
      <c r="BF26" s="13">
        <f t="shared" si="37"/>
        <v>22.121143821921812</v>
      </c>
      <c r="BG26" s="20">
        <f t="shared" si="7"/>
        <v>177.74673882318052</v>
      </c>
      <c r="BH26" s="59">
        <f t="shared" si="8"/>
        <v>471.08007215651384</v>
      </c>
      <c r="BI26" s="59">
        <f ca="1">AVERAGE(OFFSET($BH$3,0,0,'Données projet'!$E$11+1,1))-AVERAGE(OFFSET($H$3,0,0,'Données projet'!$E$11+1,1))</f>
        <v>191.96190073146369</v>
      </c>
      <c r="BJ26" s="59">
        <f t="shared" si="38"/>
        <v>224.0560835232115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16.941798574011802</v>
      </c>
      <c r="BR26" s="21">
        <f>EXP(-LN(2)/2)*BR25+(1-EXP(-LN(2)/2))/(LN(2)/2)*BL26*BO26*VLOOKUP('Données projet'!$B$11,Paramètres!$A$1:$I$89,3,0)*0.475*44/12</f>
        <v>4.7021233627050716</v>
      </c>
      <c r="BS26" s="22">
        <f t="shared" si="9"/>
        <v>21.643921936716872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30.6</v>
      </c>
      <c r="N27" s="13">
        <f>IF('Données projet'!$A$36&gt;35,N26+M27-V26,IF(A27&lt;'Données projet'!$A$36,$K$205^A27,IF(A27='Données projet'!$A$36,'Données projet'!$B$36,N26+M27-V26)))</f>
        <v>271.39999999999998</v>
      </c>
      <c r="O27" s="13">
        <f>N27*VLOOKUP('Données projet'!$B$9,Paramètres!$A$1:$I$89,3,0)*VLOOKUP('Données projet'!$B$9,Paramètres!$A$1:$I$89,5,0)</f>
        <v>151.71259999999998</v>
      </c>
      <c r="P27" s="13">
        <f t="shared" si="33"/>
        <v>38.967522593108967</v>
      </c>
      <c r="Q27" s="20">
        <f t="shared" si="2"/>
        <v>332.10121351633137</v>
      </c>
      <c r="R27" s="59">
        <f t="shared" si="0"/>
        <v>625.43454684966468</v>
      </c>
      <c r="S27" s="59">
        <f ca="1">AVERAGE(OFFSET($R$3,0,0,'Données projet'!$E$9+1,1))-AVERAGE(OFFSET($H$3,0,0,'Données projet'!$E$9+1,1))</f>
        <v>410.71046306000068</v>
      </c>
      <c r="T27" s="59">
        <f t="shared" si="34"/>
        <v>430.43167430170087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14.881303121751497</v>
      </c>
      <c r="AA27" s="21">
        <f>EXP(-LN(2)/25)*AA26+(1-EXP(-LN(2)/25))/(LN(2)/25)*Calculateur!V27*Calculateur!X27*VLOOKUP('Données projet'!$B$9,Paramètres!$A$1:$I$89,3,0)*0.475*44/12</f>
        <v>16.356174142856005</v>
      </c>
      <c r="AB27" s="21">
        <f>EXP(-LN(2)/2)*AB26+(1-EXP(-LN(2)/2))/(LN(2)/2)*V27*Y27*VLOOKUP('Données projet'!$B$9,Paramètres!$A$1:$I$89,3,0)*0.475*44/12</f>
        <v>3.6376713929159483</v>
      </c>
      <c r="AC27" s="22">
        <f t="shared" si="3"/>
        <v>34.875148657523454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34</v>
      </c>
      <c r="AI27" s="13">
        <f>IF('Données projet'!$A$62&gt;35,AI26+AH27-AQ26,IF(A27&lt;'Données projet'!$A$62,$AF$205^A27,IF(A27='Données projet'!$A$62,'Données projet'!$B$62,AI26+AH27-AQ26)))</f>
        <v>258</v>
      </c>
      <c r="AJ27" s="13">
        <f>AI27*VLOOKUP('Données projet'!$B$10,Paramètres!$A$1:$I$89,3,0)*VLOOKUP('Données projet'!$B$10,Paramètres!$A$1:$I$89,5,0)</f>
        <v>114.03600000000002</v>
      </c>
      <c r="AK27" s="13">
        <f t="shared" si="35"/>
        <v>30.279894261296121</v>
      </c>
      <c r="AL27" s="20">
        <f t="shared" si="4"/>
        <v>251.35018250509077</v>
      </c>
      <c r="AM27" s="59">
        <f t="shared" si="5"/>
        <v>544.68351583842411</v>
      </c>
      <c r="AN27" s="59">
        <f ca="1">AVERAGE(OFFSET($AM$3,0,0,'Données projet'!$E$10+1,1))-AVERAGE(OFFSET($H$3,0,0,'Données projet'!$E$10+1,1))</f>
        <v>343.36665824683809</v>
      </c>
      <c r="AO27" s="59">
        <f t="shared" si="36"/>
        <v>342.89042241858527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4.4093198409916745</v>
      </c>
      <c r="AV27" s="21">
        <f>EXP(-LN(2)/25)*AV26+(1-EXP(-LN(2)/25))/(LN(2)/25)*Calculateur!AQ27*Calculateur!AS27*VLOOKUP('Données projet'!$B$10,Paramètres!$A$1:$I$89,3,0)*0.475*44/12</f>
        <v>9.573690674478355</v>
      </c>
      <c r="AW27" s="21">
        <f>EXP(-LN(2)/2)*AW26+(1-EXP(-LN(2)/2))/(LN(2)/2)*AQ27*AT27*VLOOKUP('Données projet'!$B$10,Paramètres!$A$1:$I$89,3,0)*0.475*44/12</f>
        <v>3.2403922239058693</v>
      </c>
      <c r="AX27" s="21">
        <f t="shared" si="6"/>
        <v>17.223402739375899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16.8</v>
      </c>
      <c r="BD27" s="12">
        <f>IF('Données projet'!$A$88&gt;35,BD26+BC27-BL26,IF(A27&lt;'Données projet'!$A$88,$BA$205^A27,IF(A27='Données projet'!$A$88,'Données projet'!$B$88,BD26+BC27-BL26)))</f>
        <v>163.20000000000005</v>
      </c>
      <c r="BE27" s="13">
        <f>BD27*VLOOKUP('Données projet'!$B$11,Paramètres!$A$1:$I$89,3,0)*VLOOKUP('Données projet'!$B$11,Paramètres!$A$1:$I$89,5,0)</f>
        <v>89.10720000000002</v>
      </c>
      <c r="BF27" s="13">
        <f t="shared" si="37"/>
        <v>24.349778356363352</v>
      </c>
      <c r="BG27" s="20">
        <f t="shared" si="7"/>
        <v>197.60423730399955</v>
      </c>
      <c r="BH27" s="59">
        <f t="shared" si="8"/>
        <v>490.9375706373329</v>
      </c>
      <c r="BI27" s="59">
        <f ca="1">AVERAGE(OFFSET($BH$3,0,0,'Données projet'!$E$11+1,1))-AVERAGE(OFFSET($H$3,0,0,'Données projet'!$E$11+1,1))</f>
        <v>191.96190073146369</v>
      </c>
      <c r="BJ27" s="59">
        <f t="shared" si="38"/>
        <v>224.0560835232115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16.478524201074983</v>
      </c>
      <c r="BR27" s="21">
        <f>EXP(-LN(2)/2)*BR26+(1-EXP(-LN(2)/2))/(LN(2)/2)*BL27*BO27*VLOOKUP('Données projet'!$B$11,Paramètres!$A$1:$I$89,3,0)*0.475*44/12</f>
        <v>3.3249033157444483</v>
      </c>
      <c r="BS27" s="22">
        <f t="shared" si="9"/>
        <v>19.803427516819433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302</v>
      </c>
      <c r="L28" s="12">
        <f>VLOOKUP(A28,'Données projet'!$A$35:$I$55,9,0)</f>
        <v>30.6</v>
      </c>
      <c r="M28" s="12">
        <f t="array" ref="M28">INDEX(L:L,MIN(IF(ISNUMBER(L28:L224),ROW(L28:L224),"")))</f>
        <v>30.6</v>
      </c>
      <c r="N28" s="13">
        <f>IF('Données projet'!$A$36&gt;35,N27+M28-V27,IF(A28&lt;'Données projet'!$A$36,$K$205^A28,IF(A28='Données projet'!$A$36,'Données projet'!$B$36,N27+M28-V27)))</f>
        <v>302</v>
      </c>
      <c r="O28" s="13">
        <f>N28*VLOOKUP('Données projet'!$B$9,Paramètres!$A$1:$I$89,3,0)*VLOOKUP('Données projet'!$B$9,Paramètres!$A$1:$I$89,5,0)</f>
        <v>168.81799999999998</v>
      </c>
      <c r="P28" s="13">
        <f t="shared" si="33"/>
        <v>42.825187501685285</v>
      </c>
      <c r="Q28" s="20">
        <f t="shared" si="2"/>
        <v>368.61188489876849</v>
      </c>
      <c r="R28" s="59">
        <f t="shared" si="0"/>
        <v>661.94521823210175</v>
      </c>
      <c r="S28" s="59">
        <f ca="1">AVERAGE(OFFSET($R$3,0,0,'Données projet'!$E$9+1,1))-AVERAGE(OFFSET($H$3,0,0,'Données projet'!$E$9+1,1))</f>
        <v>410.71046306000068</v>
      </c>
      <c r="T28" s="59">
        <f t="shared" si="34"/>
        <v>430.43167430170087</v>
      </c>
      <c r="U28" s="15">
        <f>IF(ISNA(VLOOKUP(A28,'Données projet'!$A$35:$I$55,3,0)),0,VLOOKUP(A28,'Données projet'!$A$35:$I$55,3,0))</f>
        <v>4</v>
      </c>
      <c r="V28" s="15">
        <f>IF(ISNA(VLOOKUP(A28,'Données projet'!$A$35:$I$55,4,0)),0,VLOOKUP(A28,'Données projet'!$A$35:$I$55,4,0))</f>
        <v>77</v>
      </c>
      <c r="W28" s="16">
        <f>IF(ISNA(VLOOKUP(A28,'Données projet'!$A$35:$I$55,5,0)),0%,VLOOKUP(A28,'Données projet'!$A$35:$I$55,5,0)*VLOOKUP('Données projet'!$B$9,Paramètres!$A$1:$I$89,7,0))</f>
        <v>0.22000000000000003</v>
      </c>
      <c r="X28" s="16">
        <f>IF(ISNA(VLOOKUP(A28,'Données projet'!$A$35:$I$55,6,0)),0%,VLOOKUP(A28,'Données projet'!$A$35:$I$55,6,0)*VLOOKUP('Données projet'!$B$9,Paramètres!$A$1:$I$89,7,0))</f>
        <v>0.15400000000000003</v>
      </c>
      <c r="Y28" s="16">
        <f>IF(ISNA(VLOOKUP(A28,'Données projet'!$A$35:$I$55,7,0)),0%,VLOOKUP(A28,'Données projet'!$A$35:$I$55,7,0))</f>
        <v>0.22</v>
      </c>
      <c r="Z28" s="21">
        <f>EXP(-LN(2)/35)*Z27+(1-EXP(-LN(2)/35))/(LN(2)/35)*V28*W28*VLOOKUP('Données projet'!$B$9,Paramètres!$A$1:$I$89,3,0)*0.475*44/12</f>
        <v>27.15133889243911</v>
      </c>
      <c r="AA28" s="21">
        <f>EXP(-LN(2)/25)*AA27+(1-EXP(-LN(2)/25))/(LN(2)/25)*Calculateur!V28*Calculateur!X28*VLOOKUP('Données projet'!$B$9,Paramètres!$A$1:$I$89,3,0)*0.475*44/12</f>
        <v>24.667585484230582</v>
      </c>
      <c r="AB28" s="21">
        <f>EXP(-LN(2)/2)*AB27+(1-EXP(-LN(2)/2))/(LN(2)/2)*V28*Y28*VLOOKUP('Données projet'!$B$9,Paramètres!$A$1:$I$89,3,0)*0.475*44/12</f>
        <v>13.293850561794146</v>
      </c>
      <c r="AC28" s="22">
        <f t="shared" si="3"/>
        <v>65.112774938463843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292</v>
      </c>
      <c r="AG28" s="12">
        <f>VLOOKUP(A28,'Données projet'!$A$61:$I$81,9,0)</f>
        <v>34</v>
      </c>
      <c r="AH28" s="12">
        <f t="array" ref="AH28">INDEX(AG:AG,MIN(IF(ISNUMBER(AG28:AG224),ROW(AG28:AG224),"")))</f>
        <v>34</v>
      </c>
      <c r="AI28" s="13">
        <f>IF('Données projet'!$A$62&gt;35,AI27+AH28-AQ27,IF(A28&lt;'Données projet'!$A$62,$AF$205^A28,IF(A28='Données projet'!$A$62,'Données projet'!$B$62,AI27+AH28-AQ27)))</f>
        <v>292</v>
      </c>
      <c r="AJ28" s="13">
        <f>AI28*VLOOKUP('Données projet'!$B$10,Paramètres!$A$1:$I$89,3,0)*VLOOKUP('Données projet'!$B$10,Paramètres!$A$1:$I$89,5,0)</f>
        <v>129.06399999999999</v>
      </c>
      <c r="AK28" s="13">
        <f t="shared" si="35"/>
        <v>33.779986339365287</v>
      </c>
      <c r="AL28" s="20">
        <f t="shared" si="4"/>
        <v>283.61994287439455</v>
      </c>
      <c r="AM28" s="59">
        <f t="shared" si="5"/>
        <v>576.95327620772787</v>
      </c>
      <c r="AN28" s="59">
        <f ca="1">AVERAGE(OFFSET($AM$3,0,0,'Données projet'!$E$10+1,1))-AVERAGE(OFFSET($H$3,0,0,'Données projet'!$E$10+1,1))</f>
        <v>343.36665824683809</v>
      </c>
      <c r="AO28" s="59">
        <f t="shared" si="36"/>
        <v>342.89042241858527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84</v>
      </c>
      <c r="AR28" s="16">
        <f>IF(ISNA(VLOOKUP(A28,'Données projet'!$A$61:$I$81,5,0)),0%,VLOOKUP(A28,'Données projet'!$A$61:$I$81,5,0)*VLOOKUP('Données projet'!$B$10,Paramètres!$A$1:$I$89,7,0))</f>
        <v>0.22000000000000003</v>
      </c>
      <c r="AS28" s="16">
        <f>IF(ISNA(VLOOKUP(A28,'Données projet'!$A$61:$I$81,6,0)),0%,VLOOKUP(A28,'Données projet'!$A$61:$I$81,6,0)*VLOOKUP('Données projet'!$B$10,Paramètres!$A$1:$I$89,7,0))</f>
        <v>0.18700000000000003</v>
      </c>
      <c r="AT28" s="16">
        <f>IF(ISNA(VLOOKUP(A28,'Données projet'!$A$61:$I$81,7,0)),0%,VLOOKUP(A28,'Données projet'!$A$61:$I$81,7,0))</f>
        <v>0.26</v>
      </c>
      <c r="AU28" s="21">
        <f>EXP(-LN(2)/35)*AU27+(1-EXP(-LN(2)/35))/(LN(2)/35)*AQ28*AR28*VLOOKUP('Données projet'!$B$10,Paramètres!$A$1:$I$89,3,0)*0.475*44/12</f>
        <v>15.158446490672409</v>
      </c>
      <c r="AV28" s="21">
        <f>EXP(-LN(2)/25)*AV27+(1-EXP(-LN(2)/25))/(LN(2)/25)*Calculateur!AQ28*Calculateur!AS28*VLOOKUP('Données projet'!$B$10,Paramètres!$A$1:$I$89,3,0)*0.475*44/12</f>
        <v>18.485885441563845</v>
      </c>
      <c r="AW28" s="21">
        <f>EXP(-LN(2)/2)*AW27+(1-EXP(-LN(2)/2))/(LN(2)/2)*AQ28*AT28*VLOOKUP('Données projet'!$B$10,Paramètres!$A$1:$I$89,3,0)*0.475*44/12</f>
        <v>13.221058708294279</v>
      </c>
      <c r="AX28" s="21">
        <f t="shared" si="6"/>
        <v>46.865390640530535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180</v>
      </c>
      <c r="BB28" s="12">
        <f>VLOOKUP(A28,'Données projet'!$A$87:$I$107,9,0)</f>
        <v>16.8</v>
      </c>
      <c r="BC28" s="12">
        <f t="array" ref="BC28">INDEX(BB:BB,MIN(IF(ISNUMBER(BB28:BB224),ROW(BB28:BB224),"")))</f>
        <v>16.8</v>
      </c>
      <c r="BD28" s="12">
        <f>IF('Données projet'!$A$88&gt;35,BD27+BC28-BL27,IF(A28&lt;'Données projet'!$A$88,$BA$205^A28,IF(A28='Données projet'!$A$88,'Données projet'!$B$88,BD27+BC28-BL27)))</f>
        <v>180.00000000000006</v>
      </c>
      <c r="BE28" s="13">
        <f>BD28*VLOOKUP('Données projet'!$B$11,Paramètres!$A$1:$I$89,3,0)*VLOOKUP('Données projet'!$B$11,Paramètres!$A$1:$I$89,5,0)</f>
        <v>98.28000000000003</v>
      </c>
      <c r="BF28" s="13">
        <f t="shared" si="37"/>
        <v>26.551818424463473</v>
      </c>
      <c r="BG28" s="20">
        <f t="shared" si="7"/>
        <v>217.41541708927392</v>
      </c>
      <c r="BH28" s="59">
        <f t="shared" si="8"/>
        <v>510.74875042260726</v>
      </c>
      <c r="BI28" s="59">
        <f ca="1">AVERAGE(OFFSET($BH$3,0,0,'Données projet'!$E$11+1,1))-AVERAGE(OFFSET($H$3,0,0,'Données projet'!$E$11+1,1))</f>
        <v>191.96190073146369</v>
      </c>
      <c r="BJ28" s="59">
        <f t="shared" si="38"/>
        <v>224.0560835232115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0.12</v>
      </c>
      <c r="BN28" s="16">
        <f>IF(ISNA(VLOOKUP(A28,'Données projet'!$A$87:$I$107,6,0)),0%,VLOOKUP(A28,'Données projet'!$A$87:$I$107,6,0)*VLOOKUP('Données projet'!$B$11,Paramètres!$A$1:$I$89,7,0))</f>
        <v>0.27</v>
      </c>
      <c r="BO28" s="16">
        <f>IF(ISNA(VLOOKUP(A28,'Données projet'!$A$87:$I$107,7,0)),0%,VLOOKUP(A28,'Données projet'!$A$87:$I$107,7,0))</f>
        <v>0.35</v>
      </c>
      <c r="BP28" s="21">
        <f>EXP(-LN(2)/35)*BP27+(1-EXP(-LN(2)/35))/(LN(2)/35)*BL28*BM28*VLOOKUP('Données projet'!$B$11,Paramètres!$A$1:$I$89,3,0)*0.475*44/12</f>
        <v>3.6504931310567437</v>
      </c>
      <c r="BQ28" s="21">
        <f>EXP(-LN(2)/25)*BQ27+(1-EXP(-LN(2)/25))/(LN(2)/25)*Calculateur!BL28*Calculateur!BN28*VLOOKUP('Données projet'!$B$11,Paramètres!$A$1:$I$89,3,0)*0.475*44/12</f>
        <v>24.209187524697555</v>
      </c>
      <c r="BR28" s="21">
        <f>EXP(-LN(2)/2)*BR27+(1-EXP(-LN(2)/2))/(LN(2)/2)*BL28*BO28*VLOOKUP('Données projet'!$B$11,Paramètres!$A$1:$I$89,3,0)*0.475*44/12</f>
        <v>11.438584547759456</v>
      </c>
      <c r="BS28" s="22">
        <f t="shared" si="9"/>
        <v>39.298265203513758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32.200000000000003</v>
      </c>
      <c r="N29" s="13">
        <f>IF('Données projet'!$A$36&gt;35,N28+M29-V28,IF(A29&lt;'Données projet'!$A$36,$K$205^A29,IF(A29='Données projet'!$A$36,'Données projet'!$B$36,N28+M29-V28)))</f>
        <v>257.2</v>
      </c>
      <c r="O29" s="13">
        <f>N29*VLOOKUP('Données projet'!$B$9,Paramètres!$A$1:$I$89,3,0)*VLOOKUP('Données projet'!$B$9,Paramètres!$A$1:$I$89,5,0)</f>
        <v>143.7748</v>
      </c>
      <c r="P29" s="13">
        <f t="shared" si="33"/>
        <v>37.160415587796457</v>
      </c>
      <c r="Q29" s="20">
        <f t="shared" si="2"/>
        <v>315.12883381541212</v>
      </c>
      <c r="R29" s="59">
        <f t="shared" si="0"/>
        <v>608.46216714874549</v>
      </c>
      <c r="S29" s="59">
        <f ca="1">AVERAGE(OFFSET($R$3,0,0,'Données projet'!$E$9+1,1))-AVERAGE(OFFSET($H$3,0,0,'Données projet'!$E$9+1,1))</f>
        <v>410.71046306000068</v>
      </c>
      <c r="T29" s="59">
        <f t="shared" si="34"/>
        <v>430.43167430170087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26.618917697439873</v>
      </c>
      <c r="AA29" s="21">
        <f>EXP(-LN(2)/25)*AA28+(1-EXP(-LN(2)/25))/(LN(2)/25)*Calculateur!V29*Calculateur!X29*VLOOKUP('Données projet'!$B$9,Paramètres!$A$1:$I$89,3,0)*0.475*44/12</f>
        <v>23.993049061952355</v>
      </c>
      <c r="AB29" s="21">
        <f>EXP(-LN(2)/2)*AB28+(1-EXP(-LN(2)/2))/(LN(2)/2)*V29*Y29*VLOOKUP('Données projet'!$B$9,Paramètres!$A$1:$I$89,3,0)*0.475*44/12</f>
        <v>9.4001718803252352</v>
      </c>
      <c r="AC29" s="22">
        <f t="shared" si="3"/>
        <v>60.012138639717463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37.4</v>
      </c>
      <c r="AI29" s="13">
        <f>IF('Données projet'!$A$62&gt;35,AI28+AH29-AQ28,IF(A29&lt;'Données projet'!$A$62,$AF$205^A29,IF(A29='Données projet'!$A$62,'Données projet'!$B$62,AI28+AH29-AQ28)))</f>
        <v>245.39999999999998</v>
      </c>
      <c r="AJ29" s="13">
        <f>AI29*VLOOKUP('Données projet'!$B$10,Paramètres!$A$1:$I$89,3,0)*VLOOKUP('Données projet'!$B$10,Paramètres!$A$1:$I$89,5,0)</f>
        <v>108.46679999999999</v>
      </c>
      <c r="AK29" s="13">
        <f t="shared" si="35"/>
        <v>28.969456129097562</v>
      </c>
      <c r="AL29" s="20">
        <f t="shared" si="4"/>
        <v>239.36814609151156</v>
      </c>
      <c r="AM29" s="59">
        <f t="shared" si="5"/>
        <v>532.70147942484482</v>
      </c>
      <c r="AN29" s="59">
        <f ca="1">AVERAGE(OFFSET($AM$3,0,0,'Données projet'!$E$10+1,1))-AVERAGE(OFFSET($H$3,0,0,'Données projet'!$E$10+1,1))</f>
        <v>343.36665824683809</v>
      </c>
      <c r="AO29" s="59">
        <f t="shared" si="36"/>
        <v>342.89042241858527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14.861198600729741</v>
      </c>
      <c r="AV29" s="21">
        <f>EXP(-LN(2)/25)*AV28+(1-EXP(-LN(2)/25))/(LN(2)/25)*Calculateur!AQ29*Calculateur!AS29*VLOOKUP('Données projet'!$B$10,Paramètres!$A$1:$I$89,3,0)*0.475*44/12</f>
        <v>17.980387932033818</v>
      </c>
      <c r="AW29" s="21">
        <f>EXP(-LN(2)/2)*AW28+(1-EXP(-LN(2)/2))/(LN(2)/2)*AQ29*AT29*VLOOKUP('Données projet'!$B$10,Paramètres!$A$1:$I$89,3,0)*0.475*44/12</f>
        <v>9.3487002671003427</v>
      </c>
      <c r="AX29" s="21">
        <f t="shared" si="6"/>
        <v>42.190286799863898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</v>
      </c>
      <c r="BD29" s="12">
        <f>IF('Données projet'!$A$88&gt;35,BD28+BC29-BL28,IF(A29&lt;'Données projet'!$A$88,$BA$205^A29,IF(A29='Données projet'!$A$88,'Données projet'!$B$88,BD28+BC29-BL28)))</f>
        <v>154.00000000000006</v>
      </c>
      <c r="BE29" s="13">
        <f>BD29*VLOOKUP('Données projet'!$B$11,Paramètres!$A$1:$I$89,3,0)*VLOOKUP('Données projet'!$B$11,Paramètres!$A$1:$I$89,5,0)</f>
        <v>84.084000000000032</v>
      </c>
      <c r="BF29" s="13">
        <f t="shared" si="37"/>
        <v>23.132831417334547</v>
      </c>
      <c r="BG29" s="20">
        <f t="shared" si="7"/>
        <v>186.73598138519102</v>
      </c>
      <c r="BH29" s="59">
        <f t="shared" si="8"/>
        <v>480.06931471852431</v>
      </c>
      <c r="BI29" s="59">
        <f ca="1">AVERAGE(OFFSET($BH$3,0,0,'Données projet'!$E$11+1,1))-AVERAGE(OFFSET($H$3,0,0,'Données projet'!$E$11+1,1))</f>
        <v>191.96190073146369</v>
      </c>
      <c r="BJ29" s="59">
        <f t="shared" si="38"/>
        <v>224.0560835232115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3.5789091873376742</v>
      </c>
      <c r="BQ29" s="21">
        <f>EXP(-LN(2)/25)*BQ28+(1-EXP(-LN(2)/25))/(LN(2)/25)*Calculateur!BL29*Calculateur!BN29*VLOOKUP('Données projet'!$B$11,Paramètres!$A$1:$I$89,3,0)*0.475*44/12</f>
        <v>23.547186018728858</v>
      </c>
      <c r="BR29" s="21">
        <f>EXP(-LN(2)/2)*BR28+(1-EXP(-LN(2)/2))/(LN(2)/2)*BL29*BO29*VLOOKUP('Données projet'!$B$11,Paramètres!$A$1:$I$89,3,0)*0.475*44/12</f>
        <v>8.0883007008963705</v>
      </c>
      <c r="BS29" s="22">
        <f t="shared" si="9"/>
        <v>35.214395906962906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32.200000000000003</v>
      </c>
      <c r="N30" s="13">
        <f>IF('Données projet'!$A$36&gt;35,N29+M30-V29,IF(A30&lt;'Données projet'!$A$36,$K$205^A30,IF(A30='Données projet'!$A$36,'Données projet'!$B$36,N29+M30-V29)))</f>
        <v>289.39999999999998</v>
      </c>
      <c r="O30" s="13">
        <f>N30*VLOOKUP('Données projet'!$B$9,Paramètres!$A$1:$I$89,3,0)*VLOOKUP('Données projet'!$B$9,Paramètres!$A$1:$I$89,5,0)</f>
        <v>161.77459999999999</v>
      </c>
      <c r="P30" s="13">
        <f t="shared" si="33"/>
        <v>41.242524074412984</v>
      </c>
      <c r="Q30" s="20">
        <f t="shared" si="2"/>
        <v>353.58815776293591</v>
      </c>
      <c r="R30" s="59">
        <f t="shared" si="0"/>
        <v>646.92149109626916</v>
      </c>
      <c r="S30" s="59">
        <f ca="1">AVERAGE(OFFSET($R$3,0,0,'Données projet'!$E$9+1,1))-AVERAGE(OFFSET($H$3,0,0,'Données projet'!$E$9+1,1))</f>
        <v>410.71046306000068</v>
      </c>
      <c r="T30" s="59">
        <f t="shared" si="34"/>
        <v>430.43167430170087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26.096936957329707</v>
      </c>
      <c r="AA30" s="21">
        <f>EXP(-LN(2)/25)*AA29+(1-EXP(-LN(2)/25))/(LN(2)/25)*Calculateur!V30*Calculateur!X30*VLOOKUP('Données projet'!$B$9,Paramètres!$A$1:$I$89,3,0)*0.475*44/12</f>
        <v>23.336957873613656</v>
      </c>
      <c r="AB30" s="21">
        <f>EXP(-LN(2)/2)*AB29+(1-EXP(-LN(2)/2))/(LN(2)/2)*V30*Y30*VLOOKUP('Données projet'!$B$9,Paramètres!$A$1:$I$89,3,0)*0.475*44/12</f>
        <v>6.6469252808970731</v>
      </c>
      <c r="AC30" s="22">
        <f t="shared" si="3"/>
        <v>56.080820111840431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37.4</v>
      </c>
      <c r="AI30" s="13">
        <f>IF('Données projet'!$A$62&gt;35,AI29+AH30-AQ29,IF(A30&lt;'Données projet'!$A$62,$AF$205^A30,IF(A30='Données projet'!$A$62,'Données projet'!$B$62,AI29+AH30-AQ29)))</f>
        <v>282.79999999999995</v>
      </c>
      <c r="AJ30" s="13">
        <f>AI30*VLOOKUP('Données projet'!$B$10,Paramètres!$A$1:$I$89,3,0)*VLOOKUP('Données projet'!$B$10,Paramètres!$A$1:$I$89,5,0)</f>
        <v>124.99759999999999</v>
      </c>
      <c r="AK30" s="13">
        <f t="shared" si="35"/>
        <v>32.837825026716871</v>
      </c>
      <c r="AL30" s="20">
        <f t="shared" si="4"/>
        <v>274.89669858819849</v>
      </c>
      <c r="AM30" s="59">
        <f t="shared" si="5"/>
        <v>568.2300319215318</v>
      </c>
      <c r="AN30" s="59">
        <f ca="1">AVERAGE(OFFSET($AM$3,0,0,'Données projet'!$E$10+1,1))-AVERAGE(OFFSET($H$3,0,0,'Données projet'!$E$10+1,1))</f>
        <v>343.36665824683809</v>
      </c>
      <c r="AO30" s="59">
        <f t="shared" si="36"/>
        <v>342.89042241858527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14.569779560605539</v>
      </c>
      <c r="AV30" s="21">
        <f>EXP(-LN(2)/25)*AV29+(1-EXP(-LN(2)/25))/(LN(2)/25)*Calculateur!AQ30*Calculateur!AS30*VLOOKUP('Données projet'!$B$10,Paramètres!$A$1:$I$89,3,0)*0.475*44/12</f>
        <v>17.488713278484845</v>
      </c>
      <c r="AW30" s="21">
        <f>EXP(-LN(2)/2)*AW29+(1-EXP(-LN(2)/2))/(LN(2)/2)*AQ30*AT30*VLOOKUP('Données projet'!$B$10,Paramètres!$A$1:$I$89,3,0)*0.475*44/12</f>
        <v>6.6105293541471406</v>
      </c>
      <c r="AX30" s="21">
        <f t="shared" si="6"/>
        <v>38.669022193237524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</v>
      </c>
      <c r="BD30" s="12">
        <f>IF('Données projet'!$A$88&gt;35,BD29+BC30-BL29,IF(A30&lt;'Données projet'!$A$88,$BA$205^A30,IF(A30='Données projet'!$A$88,'Données projet'!$B$88,BD29+BC30-BL29)))</f>
        <v>170.00000000000006</v>
      </c>
      <c r="BE30" s="13">
        <f>BD30*VLOOKUP('Données projet'!$B$11,Paramètres!$A$1:$I$89,3,0)*VLOOKUP('Données projet'!$B$11,Paramètres!$A$1:$I$89,5,0)</f>
        <v>92.820000000000036</v>
      </c>
      <c r="BF30" s="13">
        <f t="shared" si="37"/>
        <v>25.244115055224729</v>
      </c>
      <c r="BG30" s="20">
        <f t="shared" si="7"/>
        <v>205.62833372118314</v>
      </c>
      <c r="BH30" s="59">
        <f t="shared" si="8"/>
        <v>498.96166705451645</v>
      </c>
      <c r="BI30" s="59">
        <f ca="1">AVERAGE(OFFSET($BH$3,0,0,'Données projet'!$E$11+1,1))-AVERAGE(OFFSET($H$3,0,0,'Données projet'!$E$11+1,1))</f>
        <v>191.96190073146369</v>
      </c>
      <c r="BJ30" s="59">
        <f t="shared" si="38"/>
        <v>224.0560835232115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3.5087289610930412</v>
      </c>
      <c r="BQ30" s="21">
        <f>EXP(-LN(2)/25)*BQ29+(1-EXP(-LN(2)/25))/(LN(2)/25)*Calculateur!BL30*Calculateur!BN30*VLOOKUP('Données projet'!$B$11,Paramètres!$A$1:$I$89,3,0)*0.475*44/12</f>
        <v>22.903286978754021</v>
      </c>
      <c r="BR30" s="21">
        <f>EXP(-LN(2)/2)*BR29+(1-EXP(-LN(2)/2))/(LN(2)/2)*BL30*BO30*VLOOKUP('Données projet'!$B$11,Paramètres!$A$1:$I$89,3,0)*0.475*44/12</f>
        <v>5.7192922738797289</v>
      </c>
      <c r="BS30" s="22">
        <f t="shared" si="9"/>
        <v>32.13130821372679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32.200000000000003</v>
      </c>
      <c r="N31" s="13">
        <f>IF('Données projet'!$A$36&gt;35,N30+M31-V30,IF(A31&lt;'Données projet'!$A$36,$K$205^A31,IF(A31='Données projet'!$A$36,'Données projet'!$B$36,N30+M31-V30)))</f>
        <v>321.59999999999997</v>
      </c>
      <c r="O31" s="13">
        <f>N31*VLOOKUP('Données projet'!$B$9,Paramètres!$A$1:$I$89,3,0)*VLOOKUP('Données projet'!$B$9,Paramètres!$A$1:$I$89,5,0)</f>
        <v>179.77439999999999</v>
      </c>
      <c r="P31" s="13">
        <f t="shared" si="33"/>
        <v>45.271990660094822</v>
      </c>
      <c r="Q31" s="20">
        <f t="shared" si="2"/>
        <v>391.9557970663318</v>
      </c>
      <c r="R31" s="59">
        <f t="shared" si="0"/>
        <v>685.28913039966505</v>
      </c>
      <c r="S31" s="59">
        <f ca="1">AVERAGE(OFFSET($R$3,0,0,'Données projet'!$E$9+1,1))-AVERAGE(OFFSET($H$3,0,0,'Données projet'!$E$9+1,1))</f>
        <v>410.71046306000068</v>
      </c>
      <c r="T31" s="59">
        <f t="shared" si="34"/>
        <v>430.43167430170087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25.585191941156285</v>
      </c>
      <c r="AA31" s="21">
        <f>EXP(-LN(2)/25)*AA30+(1-EXP(-LN(2)/25))/(LN(2)/25)*Calculateur!V31*Calculateur!X31*VLOOKUP('Données projet'!$B$9,Paramètres!$A$1:$I$89,3,0)*0.475*44/12</f>
        <v>22.698807533322412</v>
      </c>
      <c r="AB31" s="21">
        <f>EXP(-LN(2)/2)*AB30+(1-EXP(-LN(2)/2))/(LN(2)/2)*V31*Y31*VLOOKUP('Données projet'!$B$9,Paramètres!$A$1:$I$89,3,0)*0.475*44/12</f>
        <v>4.7000859401626176</v>
      </c>
      <c r="AC31" s="22">
        <f t="shared" si="3"/>
        <v>52.984085414641314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37.4</v>
      </c>
      <c r="AI31" s="13">
        <f>IF('Données projet'!$A$62&gt;35,AI30+AH31-AQ30,IF(A31&lt;'Données projet'!$A$62,$AF$205^A31,IF(A31='Données projet'!$A$62,'Données projet'!$B$62,AI30+AH31-AQ30)))</f>
        <v>320.19999999999993</v>
      </c>
      <c r="AJ31" s="13">
        <f>AI31*VLOOKUP('Données projet'!$B$10,Paramètres!$A$1:$I$89,3,0)*VLOOKUP('Données projet'!$B$10,Paramètres!$A$1:$I$89,5,0)</f>
        <v>141.52839999999998</v>
      </c>
      <c r="AK31" s="13">
        <f t="shared" si="35"/>
        <v>36.646918903168391</v>
      </c>
      <c r="AL31" s="20">
        <f t="shared" si="4"/>
        <v>310.32201375635157</v>
      </c>
      <c r="AM31" s="59">
        <f t="shared" si="5"/>
        <v>603.65534708968494</v>
      </c>
      <c r="AN31" s="59">
        <f ca="1">AVERAGE(OFFSET($AM$3,0,0,'Données projet'!$E$10+1,1))-AVERAGE(OFFSET($H$3,0,0,'Données projet'!$E$10+1,1))</f>
        <v>343.36665824683809</v>
      </c>
      <c r="AO31" s="59">
        <f t="shared" si="36"/>
        <v>342.89042241858527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14.284075070110109</v>
      </c>
      <c r="AV31" s="21">
        <f>EXP(-LN(2)/25)*AV30+(1-EXP(-LN(2)/25))/(LN(2)/25)*Calculateur!AQ31*Calculateur!AS31*VLOOKUP('Données projet'!$B$10,Paramètres!$A$1:$I$89,3,0)*0.475*44/12</f>
        <v>17.010483494193217</v>
      </c>
      <c r="AW31" s="21">
        <f>EXP(-LN(2)/2)*AW30+(1-EXP(-LN(2)/2))/(LN(2)/2)*AQ31*AT31*VLOOKUP('Données projet'!$B$10,Paramètres!$A$1:$I$89,3,0)*0.475*44/12</f>
        <v>4.6743501335501714</v>
      </c>
      <c r="AX31" s="21">
        <f t="shared" si="6"/>
        <v>35.9689086978535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</v>
      </c>
      <c r="BD31" s="12">
        <f>IF('Données projet'!$A$88&gt;35,BD30+BC31-BL30,IF(A31&lt;'Données projet'!$A$88,$BA$205^A31,IF(A31='Données projet'!$A$88,'Données projet'!$B$88,BD30+BC31-BL30)))</f>
        <v>186.00000000000006</v>
      </c>
      <c r="BE31" s="13">
        <f>BD31*VLOOKUP('Données projet'!$B$11,Paramètres!$A$1:$I$89,3,0)*VLOOKUP('Données projet'!$B$11,Paramètres!$A$1:$I$89,5,0)</f>
        <v>101.55600000000003</v>
      </c>
      <c r="BF31" s="13">
        <f t="shared" si="37"/>
        <v>27.332359320696909</v>
      </c>
      <c r="BG31" s="20">
        <f t="shared" si="7"/>
        <v>224.48055915021382</v>
      </c>
      <c r="BH31" s="59">
        <f t="shared" si="8"/>
        <v>517.81389248354708</v>
      </c>
      <c r="BI31" s="59">
        <f ca="1">AVERAGE(OFFSET($BH$3,0,0,'Données projet'!$E$11+1,1))-AVERAGE(OFFSET($H$3,0,0,'Données projet'!$E$11+1,1))</f>
        <v>191.96190073146369</v>
      </c>
      <c r="BJ31" s="59">
        <f t="shared" si="38"/>
        <v>224.0560835232115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3.4399249262793541</v>
      </c>
      <c r="BQ31" s="21">
        <f>EXP(-LN(2)/25)*BQ30+(1-EXP(-LN(2)/25))/(LN(2)/25)*Calculateur!BL31*Calculateur!BN31*VLOOKUP('Données projet'!$B$11,Paramètres!$A$1:$I$89,3,0)*0.475*44/12</f>
        <v>22.276995391888477</v>
      </c>
      <c r="BR31" s="21">
        <f>EXP(-LN(2)/2)*BR30+(1-EXP(-LN(2)/2))/(LN(2)/2)*BL31*BO31*VLOOKUP('Données projet'!$B$11,Paramètres!$A$1:$I$89,3,0)*0.475*44/12</f>
        <v>4.0441503504481853</v>
      </c>
      <c r="BS31" s="22">
        <f t="shared" si="9"/>
        <v>29.761070668616014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32.200000000000003</v>
      </c>
      <c r="N32" s="13">
        <f>IF('Données projet'!$A$36&gt;35,N31+M32-V31,IF(A32&lt;'Données projet'!$A$36,$K$205^A32,IF(A32='Données projet'!$A$36,'Données projet'!$B$36,N31+M32-V31)))</f>
        <v>353.79999999999995</v>
      </c>
      <c r="O32" s="13">
        <f>N32*VLOOKUP('Données projet'!$B$9,Paramètres!$A$1:$I$89,3,0)*VLOOKUP('Données projet'!$B$9,Paramètres!$A$1:$I$89,5,0)</f>
        <v>197.77419999999998</v>
      </c>
      <c r="P32" s="13">
        <f t="shared" si="33"/>
        <v>49.254686098708028</v>
      </c>
      <c r="Q32" s="20">
        <f t="shared" si="2"/>
        <v>430.24197662191642</v>
      </c>
      <c r="R32" s="59">
        <f t="shared" si="0"/>
        <v>723.57530995524974</v>
      </c>
      <c r="S32" s="59">
        <f ca="1">AVERAGE(OFFSET($R$3,0,0,'Données projet'!$E$9+1,1))-AVERAGE(OFFSET($H$3,0,0,'Données projet'!$E$9+1,1))</f>
        <v>410.71046306000068</v>
      </c>
      <c r="T32" s="59">
        <f t="shared" si="34"/>
        <v>430.43167430170087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25.083481932616387</v>
      </c>
      <c r="AA32" s="21">
        <f>EXP(-LN(2)/25)*AA31+(1-EXP(-LN(2)/25))/(LN(2)/25)*Calculateur!V32*Calculateur!X32*VLOOKUP('Données projet'!$B$9,Paramètres!$A$1:$I$89,3,0)*0.475*44/12</f>
        <v>22.078107447645301</v>
      </c>
      <c r="AB32" s="21">
        <f>EXP(-LN(2)/2)*AB31+(1-EXP(-LN(2)/2))/(LN(2)/2)*V32*Y32*VLOOKUP('Données projet'!$B$9,Paramètres!$A$1:$I$89,3,0)*0.475*44/12</f>
        <v>3.3234626404485366</v>
      </c>
      <c r="AC32" s="22">
        <f t="shared" si="3"/>
        <v>50.485052020710228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37.4</v>
      </c>
      <c r="AI32" s="13">
        <f>IF('Données projet'!$A$62&gt;35,AI31+AH32-AQ31,IF(A32&lt;'Données projet'!$A$62,$AF$205^A32,IF(A32='Données projet'!$A$62,'Données projet'!$B$62,AI31+AH32-AQ31)))</f>
        <v>357.59999999999991</v>
      </c>
      <c r="AJ32" s="13">
        <f>AI32*VLOOKUP('Données projet'!$B$10,Paramètres!$A$1:$I$89,3,0)*VLOOKUP('Données projet'!$B$10,Paramètres!$A$1:$I$89,5,0)</f>
        <v>158.05919999999998</v>
      </c>
      <c r="AK32" s="13">
        <f t="shared" si="35"/>
        <v>40.404452106627382</v>
      </c>
      <c r="AL32" s="20">
        <f t="shared" si="4"/>
        <v>345.65752741904265</v>
      </c>
      <c r="AM32" s="59">
        <f t="shared" si="5"/>
        <v>638.99086075237597</v>
      </c>
      <c r="AN32" s="59">
        <f ca="1">AVERAGE(OFFSET($AM$3,0,0,'Données projet'!$E$10+1,1))-AVERAGE(OFFSET($H$3,0,0,'Données projet'!$E$10+1,1))</f>
        <v>343.36665824683809</v>
      </c>
      <c r="AO32" s="59">
        <f t="shared" si="36"/>
        <v>342.89042241858527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14.003973070410762</v>
      </c>
      <c r="AV32" s="21">
        <f>EXP(-LN(2)/25)*AV31+(1-EXP(-LN(2)/25))/(LN(2)/25)*Calculateur!AQ32*Calculateur!AS32*VLOOKUP('Données projet'!$B$10,Paramètres!$A$1:$I$89,3,0)*0.475*44/12</f>
        <v>16.545330928502054</v>
      </c>
      <c r="AW32" s="21">
        <f>EXP(-LN(2)/2)*AW31+(1-EXP(-LN(2)/2))/(LN(2)/2)*AQ32*AT32*VLOOKUP('Données projet'!$B$10,Paramètres!$A$1:$I$89,3,0)*0.475*44/12</f>
        <v>3.3052646770735703</v>
      </c>
      <c r="AX32" s="21">
        <f t="shared" si="6"/>
        <v>33.854568675986386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</v>
      </c>
      <c r="BD32" s="12">
        <f>IF('Données projet'!$A$88&gt;35,BD31+BC32-BL31,IF(A32&lt;'Données projet'!$A$88,$BA$205^A32,IF(A32='Données projet'!$A$88,'Données projet'!$B$88,BD31+BC32-BL31)))</f>
        <v>202.00000000000006</v>
      </c>
      <c r="BE32" s="13">
        <f>BD32*VLOOKUP('Données projet'!$B$11,Paramètres!$A$1:$I$89,3,0)*VLOOKUP('Données projet'!$B$11,Paramètres!$A$1:$I$89,5,0)</f>
        <v>110.29200000000003</v>
      </c>
      <c r="BF32" s="13">
        <f t="shared" si="37"/>
        <v>29.39977143172484</v>
      </c>
      <c r="BG32" s="20">
        <f t="shared" si="7"/>
        <v>243.29650191025416</v>
      </c>
      <c r="BH32" s="59">
        <f t="shared" si="8"/>
        <v>536.62983524358742</v>
      </c>
      <c r="BI32" s="59">
        <f ca="1">AVERAGE(OFFSET($BH$3,0,0,'Données projet'!$E$11+1,1))-AVERAGE(OFFSET($H$3,0,0,'Données projet'!$E$11+1,1))</f>
        <v>191.96190073146369</v>
      </c>
      <c r="BJ32" s="59">
        <f t="shared" si="38"/>
        <v>224.0560835232115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3.3724700966220462</v>
      </c>
      <c r="BQ32" s="21">
        <f>EXP(-LN(2)/25)*BQ31+(1-EXP(-LN(2)/25))/(LN(2)/25)*Calculateur!BL32*Calculateur!BN32*VLOOKUP('Données projet'!$B$11,Paramètres!$A$1:$I$89,3,0)*0.475*44/12</f>
        <v>21.667829781401014</v>
      </c>
      <c r="BR32" s="21">
        <f>EXP(-LN(2)/2)*BR31+(1-EXP(-LN(2)/2))/(LN(2)/2)*BL32*BO32*VLOOKUP('Données projet'!$B$11,Paramètres!$A$1:$I$89,3,0)*0.475*44/12</f>
        <v>2.8596461369398645</v>
      </c>
      <c r="BS32" s="22">
        <f t="shared" si="9"/>
        <v>27.899946014962925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386</v>
      </c>
      <c r="L33" s="12">
        <f>VLOOKUP(A33,'Données projet'!$A$35:$I$55,9,0)</f>
        <v>32.200000000000003</v>
      </c>
      <c r="M33" s="12">
        <f t="array" ref="M33">INDEX(L:L,MIN(IF(ISNUMBER(L33:L229),ROW(L33:L229),"")))</f>
        <v>32.200000000000003</v>
      </c>
      <c r="N33" s="13">
        <f>IF('Données projet'!$A$36&gt;35,N32+M33-V32,IF(A33&lt;'Données projet'!$A$36,$K$205^A33,IF(A33='Données projet'!$A$36,'Données projet'!$B$36,N32+M33-V32)))</f>
        <v>385.99999999999994</v>
      </c>
      <c r="O33" s="13">
        <f>N33*VLOOKUP('Données projet'!$B$9,Paramètres!$A$1:$I$89,3,0)*VLOOKUP('Données projet'!$B$9,Paramètres!$A$1:$I$89,5,0)</f>
        <v>215.77399999999994</v>
      </c>
      <c r="P33" s="13">
        <f t="shared" si="33"/>
        <v>53.195351229765876</v>
      </c>
      <c r="Q33" s="20">
        <f t="shared" si="2"/>
        <v>468.45495339184208</v>
      </c>
      <c r="R33" s="59">
        <f t="shared" si="0"/>
        <v>761.78828672517534</v>
      </c>
      <c r="S33" s="59">
        <f ca="1">AVERAGE(OFFSET($R$3,0,0,'Données projet'!$E$9+1,1))-AVERAGE(OFFSET($H$3,0,0,'Données projet'!$E$9+1,1))</f>
        <v>410.71046306000068</v>
      </c>
      <c r="T33" s="59">
        <f t="shared" si="34"/>
        <v>430.43167430170087</v>
      </c>
      <c r="U33" s="15">
        <f>IF(ISNA(VLOOKUP(A33,'Données projet'!$A$35:$I$55,3,0)),0,VLOOKUP(A33,'Données projet'!$A$35:$I$55,3,0))</f>
        <v>5</v>
      </c>
      <c r="V33" s="15">
        <f>IF(ISNA(VLOOKUP(A33,'Données projet'!$A$35:$I$55,4,0)),0,VLOOKUP(A33,'Données projet'!$A$35:$I$55,4,0))</f>
        <v>77</v>
      </c>
      <c r="W33" s="16">
        <f>IF(ISNA(VLOOKUP(A33,'Données projet'!$A$35:$I$55,5,0)),0%,VLOOKUP(A33,'Données projet'!$A$35:$I$55,5,0)*VLOOKUP('Données projet'!$B$9,Paramètres!$A$1:$I$89,7,0))</f>
        <v>0.22000000000000003</v>
      </c>
      <c r="X33" s="16">
        <f>IF(ISNA(VLOOKUP(A33,'Données projet'!$A$35:$I$55,6,0)),0%,VLOOKUP(A33,'Données projet'!$A$35:$I$55,6,0)*VLOOKUP('Données projet'!$B$9,Paramètres!$A$1:$I$89,7,0))</f>
        <v>0.12100000000000001</v>
      </c>
      <c r="Y33" s="16">
        <f>IF(ISNA(VLOOKUP(A33,'Données projet'!$A$35:$I$55,7,0)),0%,VLOOKUP(A33,'Données projet'!$A$35:$I$55,7,0))</f>
        <v>0.18</v>
      </c>
      <c r="Z33" s="21">
        <f>EXP(-LN(2)/35)*Z32+(1-EXP(-LN(2)/35))/(LN(2)/35)*V33*W33*VLOOKUP('Données projet'!$B$9,Paramètres!$A$1:$I$89,3,0)*0.475*44/12</f>
        <v>37.153459199537572</v>
      </c>
      <c r="AA33" s="21">
        <f>EXP(-LN(2)/25)*AA32+(1-EXP(-LN(2)/25))/(LN(2)/25)*Calculateur!V33*Calculateur!X33*VLOOKUP('Données projet'!$B$9,Paramètres!$A$1:$I$89,3,0)*0.475*44/12</f>
        <v>28.356193982587421</v>
      </c>
      <c r="AB33" s="21">
        <f>EXP(-LN(2)/2)*AB32+(1-EXP(-LN(2)/2))/(LN(2)/2)*V33*Y33*VLOOKUP('Données projet'!$B$9,Paramètres!$A$1:$I$89,3,0)*0.475*44/12</f>
        <v>11.122284430919009</v>
      </c>
      <c r="AC33" s="22">
        <f t="shared" si="3"/>
        <v>76.631937613044002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395</v>
      </c>
      <c r="AG33" s="12">
        <f>VLOOKUP(A33,'Données projet'!$A$61:$I$81,9,0)</f>
        <v>37.4</v>
      </c>
      <c r="AH33" s="12">
        <f t="array" ref="AH33">INDEX(AG:AG,MIN(IF(ISNUMBER(AG33:AG229),ROW(AG33:AG229),"")))</f>
        <v>37.4</v>
      </c>
      <c r="AI33" s="13">
        <f>IF('Données projet'!$A$62&gt;35,AI32+AH33-AQ32,IF(A33&lt;'Données projet'!$A$62,$AF$205^A33,IF(A33='Données projet'!$A$62,'Données projet'!$B$62,AI32+AH33-AQ32)))</f>
        <v>394.99999999999989</v>
      </c>
      <c r="AJ33" s="13">
        <f>AI33*VLOOKUP('Données projet'!$B$10,Paramètres!$A$1:$I$89,3,0)*VLOOKUP('Données projet'!$B$10,Paramètres!$A$1:$I$89,5,0)</f>
        <v>174.58999999999997</v>
      </c>
      <c r="AK33" s="13">
        <f t="shared" si="35"/>
        <v>44.116431488264027</v>
      </c>
      <c r="AL33" s="20">
        <f t="shared" si="4"/>
        <v>380.91370150872643</v>
      </c>
      <c r="AM33" s="59">
        <f t="shared" si="5"/>
        <v>674.24703484205975</v>
      </c>
      <c r="AN33" s="59">
        <f ca="1">AVERAGE(OFFSET($AM$3,0,0,'Données projet'!$E$10+1,1))-AVERAGE(OFFSET($H$3,0,0,'Données projet'!$E$10+1,1))</f>
        <v>343.36665824683809</v>
      </c>
      <c r="AO33" s="59">
        <f t="shared" si="36"/>
        <v>342.89042241858527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84</v>
      </c>
      <c r="AR33" s="16">
        <f>IF(ISNA(VLOOKUP(A33,'Données projet'!$A$61:$I$81,5,0)),0%,VLOOKUP(A33,'Données projet'!$A$61:$I$81,5,0)*VLOOKUP('Données projet'!$B$10,Paramètres!$A$1:$I$89,7,0))</f>
        <v>0.22000000000000003</v>
      </c>
      <c r="AS33" s="16">
        <f>IF(ISNA(VLOOKUP(A33,'Données projet'!$A$61:$I$81,6,0)),0%,VLOOKUP(A33,'Données projet'!$A$61:$I$81,6,0)*VLOOKUP('Données projet'!$B$10,Paramètres!$A$1:$I$89,7,0))</f>
        <v>0.15400000000000003</v>
      </c>
      <c r="AT33" s="16">
        <f>IF(ISNA(VLOOKUP(A33,'Données projet'!$A$61:$I$81,7,0)),0%,VLOOKUP(A33,'Données projet'!$A$61:$I$81,7,0))</f>
        <v>0.22</v>
      </c>
      <c r="AU33" s="21">
        <f>EXP(-LN(2)/35)*AU32+(1-EXP(-LN(2)/35))/(LN(2)/35)*AQ33*AR33*VLOOKUP('Données projet'!$B$10,Paramètres!$A$1:$I$89,3,0)*0.475*44/12</f>
        <v>24.564954422423206</v>
      </c>
      <c r="AV33" s="21">
        <f>EXP(-LN(2)/25)*AV32+(1-EXP(-LN(2)/25))/(LN(2)/25)*Calculateur!AQ33*Calculateur!AS33*VLOOKUP('Données projet'!$B$10,Paramètres!$A$1:$I$89,3,0)*0.475*44/12</f>
        <v>23.647946795270823</v>
      </c>
      <c r="AW33" s="21">
        <f>EXP(-LN(2)/2)*AW32+(1-EXP(-LN(2)/2))/(LN(2)/2)*AQ33*AT33*VLOOKUP('Données projet'!$B$10,Paramètres!$A$1:$I$89,3,0)*0.475*44/12</f>
        <v>11.585429630138863</v>
      </c>
      <c r="AX33" s="21">
        <f t="shared" si="6"/>
        <v>59.798330847832887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218</v>
      </c>
      <c r="BB33" s="12">
        <f>VLOOKUP(A33,'Données projet'!$A$87:$I$107,9,0)</f>
        <v>16</v>
      </c>
      <c r="BC33" s="12">
        <f t="array" ref="BC33">INDEX(BB:BB,MIN(IF(ISNUMBER(BB33:BB229),ROW(BB33:BB229),"")))</f>
        <v>16</v>
      </c>
      <c r="BD33" s="12">
        <f>IF('Données projet'!$A$88&gt;35,BD32+BC33-BL32,IF(A33&lt;'Données projet'!$A$88,$BA$205^A33,IF(A33='Données projet'!$A$88,'Données projet'!$B$88,BD32+BC33-BL32)))</f>
        <v>218.00000000000006</v>
      </c>
      <c r="BE33" s="13">
        <f>BD33*VLOOKUP('Données projet'!$B$11,Paramètres!$A$1:$I$89,3,0)*VLOOKUP('Données projet'!$B$11,Paramètres!$A$1:$I$89,5,0)</f>
        <v>119.02800000000002</v>
      </c>
      <c r="BF33" s="13">
        <f t="shared" si="37"/>
        <v>31.448189060298173</v>
      </c>
      <c r="BG33" s="20">
        <f t="shared" si="7"/>
        <v>262.07936261335271</v>
      </c>
      <c r="BH33" s="59">
        <f t="shared" si="8"/>
        <v>555.41269594668597</v>
      </c>
      <c r="BI33" s="59">
        <f ca="1">AVERAGE(OFFSET($BH$3,0,0,'Données projet'!$E$11+1,1))-AVERAGE(OFFSET($H$3,0,0,'Données projet'!$E$11+1,1))</f>
        <v>191.96190073146369</v>
      </c>
      <c r="BJ33" s="59">
        <f t="shared" si="38"/>
        <v>224.0560835232115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0.24</v>
      </c>
      <c r="BN33" s="16">
        <f>IF(ISNA(VLOOKUP(A33,'Données projet'!$A$87:$I$107,6,0)),0%,VLOOKUP(A33,'Données projet'!$A$87:$I$107,6,0)*VLOOKUP('Données projet'!$B$11,Paramètres!$A$1:$I$89,7,0))</f>
        <v>0.20400000000000001</v>
      </c>
      <c r="BO33" s="16">
        <f>IF(ISNA(VLOOKUP(A33,'Données projet'!$A$87:$I$107,7,0)),0%,VLOOKUP(A33,'Données projet'!$A$87:$I$107,7,0))</f>
        <v>0.26</v>
      </c>
      <c r="BP33" s="21">
        <f>EXP(-LN(2)/35)*BP32+(1-EXP(-LN(2)/35))/(LN(2)/35)*BL33*BM33*VLOOKUP('Données projet'!$B$11,Paramètres!$A$1:$I$89,3,0)*0.475*44/12</f>
        <v>10.607324277144421</v>
      </c>
      <c r="BQ33" s="21">
        <f>EXP(-LN(2)/25)*BQ32+(1-EXP(-LN(2)/25))/(LN(2)/25)*Calculateur!BL33*Calculateur!BN33*VLOOKUP('Données projet'!$B$11,Paramètres!$A$1:$I$89,3,0)*0.475*44/12</f>
        <v>27.25672540927679</v>
      </c>
      <c r="BR33" s="21">
        <f>EXP(-LN(2)/2)*BR32+(1-EXP(-LN(2)/2))/(LN(2)/2)*BL33*BO33*VLOOKUP('Données projet'!$B$11,Paramètres!$A$1:$I$89,3,0)*0.475*44/12</f>
        <v>8.7728064474120906</v>
      </c>
      <c r="BS33" s="22">
        <f t="shared" si="9"/>
        <v>46.636856133833305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31.2</v>
      </c>
      <c r="N34" s="13">
        <f>IF('Données projet'!$A$36&gt;35,N33+M34-V33,IF(A34&lt;'Données projet'!$A$36,$K$205^A34,IF(A34='Données projet'!$A$36,'Données projet'!$B$36,N33+M34-V33)))</f>
        <v>340.19999999999993</v>
      </c>
      <c r="O34" s="13">
        <f>N34*VLOOKUP('Données projet'!$B$9,Paramètres!$A$1:$I$89,3,0)*VLOOKUP('Données projet'!$B$9,Paramètres!$A$1:$I$89,5,0)</f>
        <v>190.17179999999996</v>
      </c>
      <c r="P34" s="13">
        <f t="shared" si="33"/>
        <v>47.577933393813915</v>
      </c>
      <c r="Q34" s="20">
        <f t="shared" si="2"/>
        <v>414.08078566089245</v>
      </c>
      <c r="R34" s="59">
        <f t="shared" si="0"/>
        <v>707.41411899422576</v>
      </c>
      <c r="S34" s="59">
        <f ca="1">AVERAGE(OFFSET($R$3,0,0,'Données projet'!$E$9+1,1))-AVERAGE(OFFSET($H$3,0,0,'Données projet'!$E$9+1,1))</f>
        <v>410.71046306000068</v>
      </c>
      <c r="T34" s="59">
        <f t="shared" si="34"/>
        <v>430.43167430170087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36.424902526007131</v>
      </c>
      <c r="AA34" s="21">
        <f>EXP(-LN(2)/25)*AA33+(1-EXP(-LN(2)/25))/(LN(2)/25)*Calculateur!V34*Calculateur!X34*VLOOKUP('Données projet'!$B$9,Paramètres!$A$1:$I$89,3,0)*0.475*44/12</f>
        <v>27.580792366946135</v>
      </c>
      <c r="AB34" s="21">
        <f>EXP(-LN(2)/2)*AB33+(1-EXP(-LN(2)/2))/(LN(2)/2)*V34*Y34*VLOOKUP('Données projet'!$B$9,Paramètres!$A$1:$I$89,3,0)*0.475*44/12</f>
        <v>7.8646427433883925</v>
      </c>
      <c r="AC34" s="22">
        <f t="shared" si="3"/>
        <v>71.87033763634166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37</v>
      </c>
      <c r="AI34" s="13">
        <f>IF('Données projet'!$A$62&gt;35,AI33+AH34-AQ33,IF(A34&lt;'Données projet'!$A$62,$AF$205^A34,IF(A34='Données projet'!$A$62,'Données projet'!$B$62,AI33+AH34-AQ33)))</f>
        <v>347.99999999999989</v>
      </c>
      <c r="AJ34" s="13">
        <f>AI34*VLOOKUP('Données projet'!$B$10,Paramètres!$A$1:$I$89,3,0)*VLOOKUP('Données projet'!$B$10,Paramètres!$A$1:$I$89,5,0)</f>
        <v>153.81599999999995</v>
      </c>
      <c r="AK34" s="13">
        <f t="shared" si="35"/>
        <v>39.444513325737027</v>
      </c>
      <c r="AL34" s="20">
        <f t="shared" si="4"/>
        <v>336.59539404232521</v>
      </c>
      <c r="AM34" s="59">
        <f t="shared" si="5"/>
        <v>629.92872737565858</v>
      </c>
      <c r="AN34" s="59">
        <f ca="1">AVERAGE(OFFSET($AM$3,0,0,'Données projet'!$E$10+1,1))-AVERAGE(OFFSET($H$3,0,0,'Données projet'!$E$10+1,1))</f>
        <v>343.36665824683809</v>
      </c>
      <c r="AO34" s="59">
        <f t="shared" si="36"/>
        <v>342.89042241858527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24.083250649342222</v>
      </c>
      <c r="AV34" s="21">
        <f>EXP(-LN(2)/25)*AV33+(1-EXP(-LN(2)/25))/(LN(2)/25)*Calculateur!AQ34*Calculateur!AS34*VLOOKUP('Données projet'!$B$10,Paramètres!$A$1:$I$89,3,0)*0.475*44/12</f>
        <v>23.001292446562669</v>
      </c>
      <c r="AW34" s="21">
        <f>EXP(-LN(2)/2)*AW33+(1-EXP(-LN(2)/2))/(LN(2)/2)*AQ34*AT34*VLOOKUP('Données projet'!$B$10,Paramètres!$A$1:$I$89,3,0)*0.475*44/12</f>
        <v>8.1921358544307452</v>
      </c>
      <c r="AX34" s="21">
        <f t="shared" si="6"/>
        <v>55.276678950335636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14.4</v>
      </c>
      <c r="BD34" s="12">
        <f>IF('Données projet'!$A$88&gt;35,BD33+BC34-BL33,IF(A34&lt;'Données projet'!$A$88,$BA$205^A34,IF(A34='Données projet'!$A$88,'Données projet'!$B$88,BD33+BC34-BL33)))</f>
        <v>190.40000000000006</v>
      </c>
      <c r="BE34" s="13">
        <f>BD34*VLOOKUP('Données projet'!$B$11,Paramètres!$A$1:$I$89,3,0)*VLOOKUP('Données projet'!$B$11,Paramètres!$A$1:$I$89,5,0)</f>
        <v>103.95840000000003</v>
      </c>
      <c r="BF34" s="13">
        <f t="shared" si="37"/>
        <v>27.902890560352166</v>
      </c>
      <c r="BG34" s="20">
        <f t="shared" si="7"/>
        <v>229.65841439261337</v>
      </c>
      <c r="BH34" s="59">
        <f t="shared" si="8"/>
        <v>522.99174772594665</v>
      </c>
      <c r="BI34" s="59">
        <f ca="1">AVERAGE(OFFSET($BH$3,0,0,'Données projet'!$E$11+1,1))-AVERAGE(OFFSET($H$3,0,0,'Données projet'!$E$11+1,1))</f>
        <v>191.96190073146369</v>
      </c>
      <c r="BJ34" s="59">
        <f t="shared" si="38"/>
        <v>224.0560835232115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10.399321117898586</v>
      </c>
      <c r="BQ34" s="21">
        <f>EXP(-LN(2)/25)*BQ33+(1-EXP(-LN(2)/25))/(LN(2)/25)*Calculateur!BL34*Calculateur!BN34*VLOOKUP('Données projet'!$B$11,Paramètres!$A$1:$I$89,3,0)*0.475*44/12</f>
        <v>26.511388819591222</v>
      </c>
      <c r="BR34" s="21">
        <f>EXP(-LN(2)/2)*BR33+(1-EXP(-LN(2)/2))/(LN(2)/2)*BL34*BO34*VLOOKUP('Données projet'!$B$11,Paramètres!$A$1:$I$89,3,0)*0.475*44/12</f>
        <v>6.2033109290021553</v>
      </c>
      <c r="BS34" s="22">
        <f t="shared" si="9"/>
        <v>43.114020866491963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31.2</v>
      </c>
      <c r="N35" s="13">
        <f>IF('Données projet'!$A$36&gt;35,N34+M35-V34,IF(A35&lt;'Données projet'!$A$36,$K$205^A35,IF(A35='Données projet'!$A$36,'Données projet'!$B$36,N34+M35-V34)))</f>
        <v>371.39999999999992</v>
      </c>
      <c r="O35" s="13">
        <f>N35*VLOOKUP('Données projet'!$B$9,Paramètres!$A$1:$I$89,3,0)*VLOOKUP('Données projet'!$B$9,Paramètres!$A$1:$I$89,5,0)</f>
        <v>207.61259999999996</v>
      </c>
      <c r="P35" s="13">
        <f t="shared" si="33"/>
        <v>51.413532075123662</v>
      </c>
      <c r="Q35" s="20">
        <f t="shared" ref="Q35:Q66" si="53">(O35+P35)*0.475*44/12</f>
        <v>451.13718003084023</v>
      </c>
      <c r="R35" s="59">
        <f t="shared" si="0"/>
        <v>744.47051336417348</v>
      </c>
      <c r="S35" s="59">
        <f ca="1">AVERAGE(OFFSET($R$3,0,0,'Données projet'!$E$9+1,1))-AVERAGE(OFFSET($H$3,0,0,'Données projet'!$E$9+1,1))</f>
        <v>410.71046306000068</v>
      </c>
      <c r="T35" s="59">
        <f t="shared" si="34"/>
        <v>430.43167430170087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35.710632404468925</v>
      </c>
      <c r="AA35" s="21">
        <f>EXP(-LN(2)/25)*AA34+(1-EXP(-LN(2)/25))/(LN(2)/25)*Calculateur!V35*Calculateur!X35*VLOOKUP('Données projet'!$B$9,Paramètres!$A$1:$I$89,3,0)*0.475*44/12</f>
        <v>26.826594149261158</v>
      </c>
      <c r="AB35" s="21">
        <f>EXP(-LN(2)/2)*AB34+(1-EXP(-LN(2)/2))/(LN(2)/2)*V35*Y35*VLOOKUP('Données projet'!$B$9,Paramètres!$A$1:$I$89,3,0)*0.475*44/12</f>
        <v>5.5611422154595056</v>
      </c>
      <c r="AC35" s="22">
        <f t="shared" si="3"/>
        <v>68.098368769189591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37</v>
      </c>
      <c r="AI35" s="13">
        <f>IF('Données projet'!$A$62&gt;35,AI34+AH35-AQ34,IF(A35&lt;'Données projet'!$A$62,$AF$205^A35,IF(A35='Données projet'!$A$62,'Données projet'!$B$62,AI34+AH35-AQ34)))</f>
        <v>384.99999999999989</v>
      </c>
      <c r="AJ35" s="13">
        <f>AI35*VLOOKUP('Données projet'!$B$10,Paramètres!$A$1:$I$89,3,0)*VLOOKUP('Données projet'!$B$10,Paramètres!$A$1:$I$89,5,0)</f>
        <v>170.17</v>
      </c>
      <c r="AK35" s="13">
        <f t="shared" si="35"/>
        <v>43.128095715049412</v>
      </c>
      <c r="AL35" s="20">
        <f t="shared" si="4"/>
        <v>371.4941833703777</v>
      </c>
      <c r="AM35" s="59">
        <f t="shared" si="5"/>
        <v>664.82751670371101</v>
      </c>
      <c r="AN35" s="59">
        <f ca="1">AVERAGE(OFFSET($AM$3,0,0,'Données projet'!$E$10+1,1))-AVERAGE(OFFSET($H$3,0,0,'Données projet'!$E$10+1,1))</f>
        <v>343.36665824683809</v>
      </c>
      <c r="AO35" s="59">
        <f t="shared" si="36"/>
        <v>342.89042241858527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23.610992793441067</v>
      </c>
      <c r="AV35" s="21">
        <f>EXP(-LN(2)/25)*AV34+(1-EXP(-LN(2)/25))/(LN(2)/25)*Calculateur!AQ35*Calculateur!AS35*VLOOKUP('Données projet'!$B$10,Paramètres!$A$1:$I$89,3,0)*0.475*44/12</f>
        <v>22.372320895026014</v>
      </c>
      <c r="AW35" s="21">
        <f>EXP(-LN(2)/2)*AW34+(1-EXP(-LN(2)/2))/(LN(2)/2)*AQ35*AT35*VLOOKUP('Données projet'!$B$10,Paramètres!$A$1:$I$89,3,0)*0.475*44/12</f>
        <v>5.7927148150694316</v>
      </c>
      <c r="AX35" s="21">
        <f t="shared" si="6"/>
        <v>51.776028503536509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14.4</v>
      </c>
      <c r="BD35" s="12">
        <f>IF('Données projet'!$A$88&gt;35,BD34+BC35-BL34,IF(A35&lt;'Données projet'!$A$88,$BA$205^A35,IF(A35='Données projet'!$A$88,'Données projet'!$B$88,BD34+BC35-BL34)))</f>
        <v>204.80000000000007</v>
      </c>
      <c r="BE35" s="13">
        <f>BD35*VLOOKUP('Données projet'!$B$11,Paramètres!$A$1:$I$89,3,0)*VLOOKUP('Données projet'!$B$11,Paramètres!$A$1:$I$89,5,0)</f>
        <v>111.82080000000003</v>
      </c>
      <c r="BF35" s="13">
        <f t="shared" si="37"/>
        <v>29.759568497877257</v>
      </c>
      <c r="BG35" s="20">
        <f t="shared" si="7"/>
        <v>246.5858084671363</v>
      </c>
      <c r="BH35" s="59">
        <f t="shared" si="8"/>
        <v>539.91914180046956</v>
      </c>
      <c r="BI35" s="59">
        <f ca="1">AVERAGE(OFFSET($BH$3,0,0,'Données projet'!$E$11+1,1))-AVERAGE(OFFSET($H$3,0,0,'Données projet'!$E$11+1,1))</f>
        <v>191.96190073146369</v>
      </c>
      <c r="BJ35" s="59">
        <f t="shared" si="38"/>
        <v>224.0560835232115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10.19539677373616</v>
      </c>
      <c r="BQ35" s="21">
        <f>EXP(-LN(2)/25)*BQ34+(1-EXP(-LN(2)/25))/(LN(2)/25)*Calculateur!BL35*Calculateur!BN35*VLOOKUP('Données projet'!$B$11,Paramètres!$A$1:$I$89,3,0)*0.475*44/12</f>
        <v>25.786433498146156</v>
      </c>
      <c r="BR35" s="21">
        <f>EXP(-LN(2)/2)*BR34+(1-EXP(-LN(2)/2))/(LN(2)/2)*BL35*BO35*VLOOKUP('Données projet'!$B$11,Paramètres!$A$1:$I$89,3,0)*0.475*44/12</f>
        <v>4.3864032237060462</v>
      </c>
      <c r="BS35" s="22">
        <f t="shared" si="9"/>
        <v>40.368233495588363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31.2</v>
      </c>
      <c r="N36" s="13">
        <f>IF('Données projet'!$A$36&gt;35,N35+M36-V35,IF(A36&lt;'Données projet'!$A$36,$K$205^A36,IF(A36='Données projet'!$A$36,'Données projet'!$B$36,N35+M36-V35)))</f>
        <v>402.59999999999991</v>
      </c>
      <c r="O36" s="13">
        <f>N36*VLOOKUP('Données projet'!$B$9,Paramètres!$A$1:$I$89,3,0)*VLOOKUP('Données projet'!$B$9,Paramètres!$A$1:$I$89,5,0)</f>
        <v>225.05339999999995</v>
      </c>
      <c r="P36" s="13">
        <f t="shared" si="33"/>
        <v>55.211761334413396</v>
      </c>
      <c r="Q36" s="20">
        <f t="shared" si="53"/>
        <v>488.12848932410321</v>
      </c>
      <c r="R36" s="59">
        <f t="shared" si="0"/>
        <v>781.46182265743653</v>
      </c>
      <c r="S36" s="59">
        <f ca="1">AVERAGE(OFFSET($R$3,0,0,'Données projet'!$E$9+1,1))-AVERAGE(OFFSET($H$3,0,0,'Données projet'!$E$9+1,1))</f>
        <v>410.71046306000068</v>
      </c>
      <c r="T36" s="59">
        <f t="shared" si="34"/>
        <v>430.43167430170087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35.010368684352329</v>
      </c>
      <c r="AA36" s="21">
        <f>EXP(-LN(2)/25)*AA35+(1-EXP(-LN(2)/25))/(LN(2)/25)*Calculateur!V36*Calculateur!X36*VLOOKUP('Données projet'!$B$9,Paramètres!$A$1:$I$89,3,0)*0.475*44/12</f>
        <v>26.093019521500338</v>
      </c>
      <c r="AB36" s="21">
        <f>EXP(-LN(2)/2)*AB35+(1-EXP(-LN(2)/2))/(LN(2)/2)*V36*Y36*VLOOKUP('Données projet'!$B$9,Paramètres!$A$1:$I$89,3,0)*0.475*44/12</f>
        <v>3.9323213716941972</v>
      </c>
      <c r="AC36" s="22">
        <f t="shared" si="3"/>
        <v>65.035709577546868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37</v>
      </c>
      <c r="AI36" s="13">
        <f>IF('Données projet'!$A$62&gt;35,AI35+AH36-AQ35,IF(A36&lt;'Données projet'!$A$62,$AF$205^A36,IF(A36='Données projet'!$A$62,'Données projet'!$B$62,AI35+AH36-AQ35)))</f>
        <v>421.99999999999989</v>
      </c>
      <c r="AJ36" s="13">
        <f>AI36*VLOOKUP('Données projet'!$B$10,Paramètres!$A$1:$I$89,3,0)*VLOOKUP('Données projet'!$B$10,Paramètres!$A$1:$I$89,5,0)</f>
        <v>186.52399999999994</v>
      </c>
      <c r="AK36" s="13">
        <f t="shared" si="35"/>
        <v>46.770634721831932</v>
      </c>
      <c r="AL36" s="20">
        <f t="shared" si="4"/>
        <v>406.32148880719052</v>
      </c>
      <c r="AM36" s="59">
        <f t="shared" si="5"/>
        <v>699.65482214052383</v>
      </c>
      <c r="AN36" s="59">
        <f ca="1">AVERAGE(OFFSET($AM$3,0,0,'Données projet'!$E$10+1,1))-AVERAGE(OFFSET($H$3,0,0,'Données projet'!$E$10+1,1))</f>
        <v>343.36665824683809</v>
      </c>
      <c r="AO36" s="59">
        <f t="shared" si="36"/>
        <v>342.89042241858527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23.147995626045283</v>
      </c>
      <c r="AV36" s="21">
        <f>EXP(-LN(2)/25)*AV35+(1-EXP(-LN(2)/25))/(LN(2)/25)*Calculateur!AQ36*Calculateur!AS36*VLOOKUP('Données projet'!$B$10,Paramètres!$A$1:$I$89,3,0)*0.475*44/12</f>
        <v>21.760548603642306</v>
      </c>
      <c r="AW36" s="21">
        <f>EXP(-LN(2)/2)*AW35+(1-EXP(-LN(2)/2))/(LN(2)/2)*AQ36*AT36*VLOOKUP('Données projet'!$B$10,Paramètres!$A$1:$I$89,3,0)*0.475*44/12</f>
        <v>4.0960679272153726</v>
      </c>
      <c r="AX36" s="21">
        <f t="shared" si="6"/>
        <v>49.004612156902965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14.4</v>
      </c>
      <c r="BD36" s="12">
        <f>IF('Données projet'!$A$88&gt;35,BD35+BC36-BL35,IF(A36&lt;'Données projet'!$A$88,$BA$205^A36,IF(A36='Données projet'!$A$88,'Données projet'!$B$88,BD35+BC36-BL35)))</f>
        <v>219.20000000000007</v>
      </c>
      <c r="BE36" s="13">
        <f>BD36*VLOOKUP('Données projet'!$B$11,Paramètres!$A$1:$I$89,3,0)*VLOOKUP('Données projet'!$B$11,Paramètres!$A$1:$I$89,5,0)</f>
        <v>119.68320000000003</v>
      </c>
      <c r="BF36" s="13">
        <f t="shared" si="37"/>
        <v>31.601099532596194</v>
      </c>
      <c r="BG36" s="20">
        <f t="shared" si="7"/>
        <v>263.48682168593842</v>
      </c>
      <c r="BH36" s="59">
        <f t="shared" si="8"/>
        <v>556.82015501927174</v>
      </c>
      <c r="BI36" s="59">
        <f ca="1">AVERAGE(OFFSET($BH$3,0,0,'Données projet'!$E$11+1,1))-AVERAGE(OFFSET($H$3,0,0,'Données projet'!$E$11+1,1))</f>
        <v>191.96190073146369</v>
      </c>
      <c r="BJ36" s="59">
        <f t="shared" si="38"/>
        <v>224.0560835232115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9.9954712615811925</v>
      </c>
      <c r="BQ36" s="21">
        <f>EXP(-LN(2)/25)*BQ35+(1-EXP(-LN(2)/25))/(LN(2)/25)*Calculateur!BL36*Calculateur!BN36*VLOOKUP('Données projet'!$B$11,Paramètres!$A$1:$I$89,3,0)*0.475*44/12</f>
        <v>25.081302118089749</v>
      </c>
      <c r="BR36" s="21">
        <f>EXP(-LN(2)/2)*BR35+(1-EXP(-LN(2)/2))/(LN(2)/2)*BL36*BO36*VLOOKUP('Données projet'!$B$11,Paramètres!$A$1:$I$89,3,0)*0.475*44/12</f>
        <v>3.1016554645010781</v>
      </c>
      <c r="BS36" s="22">
        <f t="shared" si="9"/>
        <v>38.178428844172018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31.2</v>
      </c>
      <c r="N37" s="13">
        <f>IF('Données projet'!$A$36&gt;35,N36+M37-V36,IF(A37&lt;'Données projet'!$A$36,$K$205^A37,IF(A37='Données projet'!$A$36,'Données projet'!$B$36,N36+M37-V36)))</f>
        <v>433.7999999999999</v>
      </c>
      <c r="O37" s="13">
        <f>N37*VLOOKUP('Données projet'!$B$9,Paramètres!$A$1:$I$89,3,0)*VLOOKUP('Données projet'!$B$9,Paramètres!$A$1:$I$89,5,0)</f>
        <v>242.49419999999995</v>
      </c>
      <c r="P37" s="13">
        <f t="shared" si="33"/>
        <v>58.975846428092012</v>
      </c>
      <c r="Q37" s="20">
        <f t="shared" si="53"/>
        <v>525.06033086226023</v>
      </c>
      <c r="R37" s="59">
        <f t="shared" si="0"/>
        <v>818.3936641955936</v>
      </c>
      <c r="S37" s="59">
        <f ca="1">AVERAGE(OFFSET($R$3,0,0,'Données projet'!$E$9+1,1))-AVERAGE(OFFSET($H$3,0,0,'Données projet'!$E$9+1,1))</f>
        <v>410.71046306000068</v>
      </c>
      <c r="T37" s="59">
        <f t="shared" si="34"/>
        <v>430.43167430170087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34.323836708668523</v>
      </c>
      <c r="AA37" s="21">
        <f>EXP(-LN(2)/25)*AA36+(1-EXP(-LN(2)/25))/(LN(2)/25)*Calculateur!V37*Calculateur!X37*VLOOKUP('Données projet'!$B$9,Paramètres!$A$1:$I$89,3,0)*0.475*44/12</f>
        <v>25.379504530512651</v>
      </c>
      <c r="AB37" s="21">
        <f>EXP(-LN(2)/2)*AB36+(1-EXP(-LN(2)/2))/(LN(2)/2)*V37*Y37*VLOOKUP('Données projet'!$B$9,Paramètres!$A$1:$I$89,3,0)*0.475*44/12</f>
        <v>2.7805711077297532</v>
      </c>
      <c r="AC37" s="22">
        <f t="shared" si="3"/>
        <v>62.483912346910927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37</v>
      </c>
      <c r="AI37" s="13">
        <f>IF('Données projet'!$A$62&gt;35,AI36+AH37-AQ36,IF(A37&lt;'Données projet'!$A$62,$AF$205^A37,IF(A37='Données projet'!$A$62,'Données projet'!$B$62,AI36+AH37-AQ36)))</f>
        <v>458.99999999999989</v>
      </c>
      <c r="AJ37" s="13">
        <f>AI37*VLOOKUP('Données projet'!$B$10,Paramètres!$A$1:$I$89,3,0)*VLOOKUP('Données projet'!$B$10,Paramètres!$A$1:$I$89,5,0)</f>
        <v>202.87799999999999</v>
      </c>
      <c r="AK37" s="13">
        <f t="shared" si="35"/>
        <v>50.376138116990127</v>
      </c>
      <c r="AL37" s="20">
        <f t="shared" si="4"/>
        <v>441.08429055375774</v>
      </c>
      <c r="AM37" s="59">
        <f t="shared" si="5"/>
        <v>734.41762388709105</v>
      </c>
      <c r="AN37" s="59">
        <f ca="1">AVERAGE(OFFSET($AM$3,0,0,'Données projet'!$E$10+1,1))-AVERAGE(OFFSET($H$3,0,0,'Données projet'!$E$10+1,1))</f>
        <v>343.36665824683809</v>
      </c>
      <c r="AO37" s="59">
        <f t="shared" si="36"/>
        <v>342.89042241858527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22.694077550701742</v>
      </c>
      <c r="AV37" s="21">
        <f>EXP(-LN(2)/25)*AV36+(1-EXP(-LN(2)/25))/(LN(2)/25)*Calculateur!AQ37*Calculateur!AS37*VLOOKUP('Données projet'!$B$10,Paramètres!$A$1:$I$89,3,0)*0.475*44/12</f>
        <v>21.165505257738189</v>
      </c>
      <c r="AW37" s="21">
        <f>EXP(-LN(2)/2)*AW36+(1-EXP(-LN(2)/2))/(LN(2)/2)*AQ37*AT37*VLOOKUP('Données projet'!$B$10,Paramètres!$A$1:$I$89,3,0)*0.475*44/12</f>
        <v>2.8963574075347158</v>
      </c>
      <c r="AX37" s="21">
        <f t="shared" si="6"/>
        <v>46.755940215974647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14.4</v>
      </c>
      <c r="BD37" s="12">
        <f>IF('Données projet'!$A$88&gt;35,BD36+BC37-BL36,IF(A37&lt;'Données projet'!$A$88,$BA$205^A37,IF(A37='Données projet'!$A$88,'Données projet'!$B$88,BD36+BC37-BL36)))</f>
        <v>233.60000000000008</v>
      </c>
      <c r="BE37" s="13">
        <f>BD37*VLOOKUP('Données projet'!$B$11,Paramètres!$A$1:$I$89,3,0)*VLOOKUP('Données projet'!$B$11,Paramètres!$A$1:$I$89,5,0)</f>
        <v>127.54560000000004</v>
      </c>
      <c r="BF37" s="13">
        <f t="shared" si="37"/>
        <v>33.428591950384806</v>
      </c>
      <c r="BG37" s="20">
        <f t="shared" si="7"/>
        <v>280.36338431358689</v>
      </c>
      <c r="BH37" s="59">
        <f t="shared" si="8"/>
        <v>573.69671764692021</v>
      </c>
      <c r="BI37" s="59">
        <f ca="1">AVERAGE(OFFSET($BH$3,0,0,'Données projet'!$E$11+1,1))-AVERAGE(OFFSET($H$3,0,0,'Données projet'!$E$11+1,1))</f>
        <v>191.96190073146369</v>
      </c>
      <c r="BJ37" s="59">
        <f t="shared" si="38"/>
        <v>224.0560835232115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9.7994661667770622</v>
      </c>
      <c r="BQ37" s="21">
        <f>EXP(-LN(2)/25)*BQ36+(1-EXP(-LN(2)/25))/(LN(2)/25)*Calculateur!BL37*Calculateur!BN37*VLOOKUP('Données projet'!$B$11,Paramètres!$A$1:$I$89,3,0)*0.475*44/12</f>
        <v>24.395452592702231</v>
      </c>
      <c r="BR37" s="21">
        <f>EXP(-LN(2)/2)*BR36+(1-EXP(-LN(2)/2))/(LN(2)/2)*BL37*BO37*VLOOKUP('Données projet'!$B$11,Paramètres!$A$1:$I$89,3,0)*0.475*44/12</f>
        <v>2.1932016118530235</v>
      </c>
      <c r="BS37" s="22">
        <f t="shared" si="9"/>
        <v>36.38812037133232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465</v>
      </c>
      <c r="L38" s="12">
        <f>VLOOKUP(A38,'Données projet'!$A$35:$I$55,9,0)</f>
        <v>31.2</v>
      </c>
      <c r="M38" s="12">
        <f t="array" ref="M38">INDEX(L:L,MIN(IF(ISNUMBER(L38:L234),ROW(L38:L234),"")))</f>
        <v>31.2</v>
      </c>
      <c r="N38" s="13">
        <f>IF('Données projet'!$A$36&gt;35,N37+M38-V37,IF(A38&lt;'Données projet'!$A$36,$K$205^A38,IF(A38='Données projet'!$A$36,'Données projet'!$B$36,N37+M38-V37)))</f>
        <v>464.99999999999989</v>
      </c>
      <c r="O38" s="13">
        <f>N38*VLOOKUP('Données projet'!$B$9,Paramètres!$A$1:$I$89,3,0)*VLOOKUP('Données projet'!$B$9,Paramètres!$A$1:$I$89,5,0)</f>
        <v>259.93499999999995</v>
      </c>
      <c r="P38" s="13">
        <f t="shared" si="33"/>
        <v>62.708522381257715</v>
      </c>
      <c r="Q38" s="20">
        <f t="shared" si="53"/>
        <v>561.93746814735709</v>
      </c>
      <c r="R38" s="59">
        <f t="shared" si="0"/>
        <v>855.27080148069035</v>
      </c>
      <c r="S38" s="59">
        <f ca="1">AVERAGE(OFFSET($R$3,0,0,'Données projet'!$E$9+1,1))-AVERAGE(OFFSET($H$3,0,0,'Données projet'!$E$9+1,1))</f>
        <v>410.71046306000068</v>
      </c>
      <c r="T38" s="59">
        <f t="shared" si="34"/>
        <v>430.43167430170087</v>
      </c>
      <c r="U38" s="15">
        <f>IF(ISNA(VLOOKUP(A38,'Données projet'!$A$35:$I$55,3,0)),0,VLOOKUP(A38,'Données projet'!$A$35:$I$55,3,0))</f>
        <v>6</v>
      </c>
      <c r="V38" s="15">
        <f>IF(ISNA(VLOOKUP(A38,'Données projet'!$A$35:$I$55,4,0)),0,VLOOKUP(A38,'Données projet'!$A$35:$I$55,4,0))</f>
        <v>77</v>
      </c>
      <c r="W38" s="16">
        <f>IF(ISNA(VLOOKUP(A38,'Données projet'!$A$35:$I$55,5,0)),0%,VLOOKUP(A38,'Données projet'!$A$35:$I$55,5,0)*VLOOKUP('Données projet'!$B$9,Paramètres!$A$1:$I$89,7,0))</f>
        <v>0.33</v>
      </c>
      <c r="X38" s="16">
        <f>IF(ISNA(VLOOKUP(A38,'Données projet'!$A$35:$I$55,6,0)),0%,VLOOKUP(A38,'Données projet'!$A$35:$I$55,6,0)*VLOOKUP('Données projet'!$B$9,Paramètres!$A$1:$I$89,7,0))</f>
        <v>0.12100000000000001</v>
      </c>
      <c r="Y38" s="16">
        <f>IF(ISNA(VLOOKUP(A38,'Données projet'!$A$35:$I$55,7,0)),0%,VLOOKUP(A38,'Données projet'!$A$35:$I$55,7,0))</f>
        <v>0.18</v>
      </c>
      <c r="Z38" s="21">
        <f>EXP(-LN(2)/35)*Z37+(1-EXP(-LN(2)/35))/(LN(2)/35)*V38*W38*VLOOKUP('Données projet'!$B$9,Paramètres!$A$1:$I$89,3,0)*0.475*44/12</f>
        <v>52.493540778594479</v>
      </c>
      <c r="AA38" s="21">
        <f>EXP(-LN(2)/25)*AA37+(1-EXP(-LN(2)/25))/(LN(2)/25)*Calculateur!V38*Calculateur!X38*VLOOKUP('Données projet'!$B$9,Paramètres!$A$1:$I$89,3,0)*0.475*44/12</f>
        <v>31.567314188610837</v>
      </c>
      <c r="AB38" s="21">
        <f>EXP(-LN(2)/2)*AB37+(1-EXP(-LN(2)/2))/(LN(2)/2)*V38*Y38*VLOOKUP('Données projet'!$B$9,Paramètres!$A$1:$I$89,3,0)*0.475*44/12</f>
        <v>10.738402146684798</v>
      </c>
      <c r="AC38" s="22">
        <f t="shared" si="3"/>
        <v>94.799257113890121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496</v>
      </c>
      <c r="AG38" s="12">
        <f>VLOOKUP(A38,'Données projet'!$A$61:$I$81,9,0)</f>
        <v>37</v>
      </c>
      <c r="AH38" s="12">
        <f t="array" ref="AH38">INDEX(AG:AG,MIN(IF(ISNUMBER(AG38:AG234),ROW(AG38:AG234),"")))</f>
        <v>37</v>
      </c>
      <c r="AI38" s="13">
        <f>IF('Données projet'!$A$62&gt;35,AI37+AH38-AQ37,IF(A38&lt;'Données projet'!$A$62,$AF$205^A38,IF(A38='Données projet'!$A$62,'Données projet'!$B$62,AI37+AH38-AQ37)))</f>
        <v>495.99999999999989</v>
      </c>
      <c r="AJ38" s="13">
        <f>AI38*VLOOKUP('Données projet'!$B$10,Paramètres!$A$1:$I$89,3,0)*VLOOKUP('Données projet'!$B$10,Paramètres!$A$1:$I$89,5,0)</f>
        <v>219.232</v>
      </c>
      <c r="AK38" s="13">
        <f t="shared" si="35"/>
        <v>53.947930757504459</v>
      </c>
      <c r="AL38" s="20">
        <f t="shared" si="4"/>
        <v>475.78837940265356</v>
      </c>
      <c r="AM38" s="59">
        <f t="shared" si="5"/>
        <v>769.12171273598688</v>
      </c>
      <c r="AN38" s="59">
        <f ca="1">AVERAGE(OFFSET($AM$3,0,0,'Données projet'!$E$10+1,1))-AVERAGE(OFFSET($H$3,0,0,'Données projet'!$E$10+1,1))</f>
        <v>343.36665824683809</v>
      </c>
      <c r="AO38" s="59">
        <f t="shared" si="36"/>
        <v>342.89042241858527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84</v>
      </c>
      <c r="AR38" s="16">
        <f>IF(ISNA(VLOOKUP(A38,'Données projet'!$A$61:$I$81,5,0)),0%,VLOOKUP(A38,'Données projet'!$A$61:$I$81,5,0)*VLOOKUP('Données projet'!$B$10,Paramètres!$A$1:$I$89,7,0))</f>
        <v>0.22000000000000003</v>
      </c>
      <c r="AS38" s="16">
        <f>IF(ISNA(VLOOKUP(A38,'Données projet'!$A$61:$I$81,6,0)),0%,VLOOKUP(A38,'Données projet'!$A$61:$I$81,6,0)*VLOOKUP('Données projet'!$B$10,Paramètres!$A$1:$I$89,7,0))</f>
        <v>0.12100000000000001</v>
      </c>
      <c r="AT38" s="16">
        <f>IF(ISNA(VLOOKUP(A38,'Données projet'!$A$61:$I$81,7,0)),0%,VLOOKUP(A38,'Données projet'!$A$61:$I$81,7,0))</f>
        <v>0.18</v>
      </c>
      <c r="AU38" s="21">
        <f>EXP(-LN(2)/35)*AU37+(1-EXP(-LN(2)/35))/(LN(2)/35)*AQ38*AR38*VLOOKUP('Données projet'!$B$10,Paramètres!$A$1:$I$89,3,0)*0.475*44/12</f>
        <v>33.084651254296034</v>
      </c>
      <c r="AV38" s="21">
        <f>EXP(-LN(2)/25)*AV37+(1-EXP(-LN(2)/25))/(LN(2)/25)*Calculateur!AQ38*Calculateur!AS38*VLOOKUP('Données projet'!$B$10,Paramètres!$A$1:$I$89,3,0)*0.475*44/12</f>
        <v>26.522843183561776</v>
      </c>
      <c r="AW38" s="21">
        <f>EXP(-LN(2)/2)*AW37+(1-EXP(-LN(2)/2))/(LN(2)/2)*AQ38*AT38*VLOOKUP('Données projet'!$B$10,Paramètres!$A$1:$I$89,3,0)*0.475*44/12</f>
        <v>9.6147876972689588</v>
      </c>
      <c r="AX38" s="21">
        <f t="shared" si="6"/>
        <v>69.222282135126761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248</v>
      </c>
      <c r="BB38" s="12">
        <f>VLOOKUP(A38,'Données projet'!$A$87:$I$107,9,0)</f>
        <v>14.4</v>
      </c>
      <c r="BC38" s="12">
        <f t="array" ref="BC38">INDEX(BB:BB,MIN(IF(ISNUMBER(BB38:BB234),ROW(BB38:BB234),"")))</f>
        <v>14.4</v>
      </c>
      <c r="BD38" s="12">
        <f>IF('Données projet'!$A$88&gt;35,BD37+BC38-BL37,IF(A38&lt;'Données projet'!$A$88,$BA$205^A38,IF(A38='Données projet'!$A$88,'Données projet'!$B$88,BD37+BC38-BL37)))</f>
        <v>248.00000000000009</v>
      </c>
      <c r="BE38" s="13">
        <f>BD38*VLOOKUP('Données projet'!$B$11,Paramètres!$A$1:$I$89,3,0)*VLOOKUP('Données projet'!$B$11,Paramètres!$A$1:$I$89,5,0)</f>
        <v>135.40800000000004</v>
      </c>
      <c r="BF38" s="13">
        <f t="shared" si="37"/>
        <v>35.243009677478732</v>
      </c>
      <c r="BG38" s="20">
        <f t="shared" si="7"/>
        <v>297.21717518827558</v>
      </c>
      <c r="BH38" s="59">
        <f t="shared" si="8"/>
        <v>590.55050852160889</v>
      </c>
      <c r="BI38" s="59">
        <f ca="1">AVERAGE(OFFSET($BH$3,0,0,'Données projet'!$E$11+1,1))-AVERAGE(OFFSET($H$3,0,0,'Données projet'!$E$11+1,1))</f>
        <v>191.96190073146369</v>
      </c>
      <c r="BJ38" s="59">
        <f t="shared" si="38"/>
        <v>224.0560835232115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42</v>
      </c>
      <c r="BM38" s="16">
        <f>IF(ISNA(VLOOKUP(A38,'Données projet'!$A$87:$I$107,5,0)),0%,VLOOKUP(A38,'Données projet'!$A$87:$I$107,5,0)*VLOOKUP('Données projet'!$B$11,Paramètres!$A$1:$I$89,7,0))</f>
        <v>0.24</v>
      </c>
      <c r="BN38" s="16">
        <f>IF(ISNA(VLOOKUP(A38,'Données projet'!$A$87:$I$107,6,0)),0%,VLOOKUP(A38,'Données projet'!$A$87:$I$107,6,0)*VLOOKUP('Données projet'!$B$11,Paramètres!$A$1:$I$89,7,0))</f>
        <v>0.16800000000000001</v>
      </c>
      <c r="BO38" s="16">
        <f>IF(ISNA(VLOOKUP(A38,'Données projet'!$A$87:$I$107,7,0)),0%,VLOOKUP(A38,'Données projet'!$A$87:$I$107,7,0))</f>
        <v>0.22</v>
      </c>
      <c r="BP38" s="21">
        <f>EXP(-LN(2)/35)*BP37+(1-EXP(-LN(2)/35))/(LN(2)/35)*BL38*BM38*VLOOKUP('Données projet'!$B$11,Paramètres!$A$1:$I$89,3,0)*0.475*44/12</f>
        <v>16.908290874444226</v>
      </c>
      <c r="BQ38" s="21">
        <f>EXP(-LN(2)/25)*BQ37+(1-EXP(-LN(2)/25))/(LN(2)/25)*Calculateur!BL38*Calculateur!BN38*VLOOKUP('Données projet'!$B$11,Paramètres!$A$1:$I$89,3,0)*0.475*44/12</f>
        <v>28.818925306767671</v>
      </c>
      <c r="BR38" s="21">
        <f>EXP(-LN(2)/2)*BR37+(1-EXP(-LN(2)/2))/(LN(2)/2)*BL38*BO38*VLOOKUP('Données projet'!$B$11,Paramètres!$A$1:$I$89,3,0)*0.475*44/12</f>
        <v>7.2629849625634613</v>
      </c>
      <c r="BS38" s="22">
        <f t="shared" si="9"/>
        <v>52.990201143775366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29</v>
      </c>
      <c r="N39" s="13">
        <f>IF('Données projet'!$A$36&gt;35,N38+M39-V38,IF(A39&lt;'Données projet'!$A$36,$K$205^A39,IF(A39='Données projet'!$A$36,'Données projet'!$B$36,N38+M39-V38)))</f>
        <v>416.99999999999989</v>
      </c>
      <c r="O39" s="13">
        <f>N39*VLOOKUP('Données projet'!$B$9,Paramètres!$A$1:$I$89,3,0)*VLOOKUP('Données projet'!$B$9,Paramètres!$A$1:$I$89,5,0)</f>
        <v>233.10299999999992</v>
      </c>
      <c r="P39" s="13">
        <f t="shared" si="33"/>
        <v>56.953098486593021</v>
      </c>
      <c r="Q39" s="20">
        <f t="shared" si="53"/>
        <v>505.18103819748262</v>
      </c>
      <c r="R39" s="59">
        <f t="shared" si="0"/>
        <v>798.51437153081588</v>
      </c>
      <c r="S39" s="59">
        <f ca="1">AVERAGE(OFFSET($R$3,0,0,'Données projet'!$E$9+1,1))-AVERAGE(OFFSET($H$3,0,0,'Données projet'!$E$9+1,1))</f>
        <v>410.71046306000068</v>
      </c>
      <c r="T39" s="59">
        <f t="shared" si="34"/>
        <v>430.43167430170087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51.464174461824612</v>
      </c>
      <c r="AA39" s="21">
        <f>EXP(-LN(2)/25)*AA38+(1-EXP(-LN(2)/25))/(LN(2)/25)*Calculateur!V39*Calculateur!X39*VLOOKUP('Données projet'!$B$9,Paramètres!$A$1:$I$89,3,0)*0.475*44/12</f>
        <v>30.704104322070368</v>
      </c>
      <c r="AB39" s="21">
        <f>EXP(-LN(2)/2)*AB38+(1-EXP(-LN(2)/2))/(LN(2)/2)*V39*Y39*VLOOKUP('Données projet'!$B$9,Paramètres!$A$1:$I$89,3,0)*0.475*44/12</f>
        <v>7.5931969770290006</v>
      </c>
      <c r="AC39" s="22">
        <f t="shared" si="3"/>
        <v>89.761475760923972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34</v>
      </c>
      <c r="AI39" s="13">
        <f>IF('Données projet'!$A$62&gt;35,AI38+AH39-AQ38,IF(A39&lt;'Données projet'!$A$62,$AF$205^A39,IF(A39='Données projet'!$A$62,'Données projet'!$B$62,AI38+AH39-AQ38)))</f>
        <v>445.99999999999989</v>
      </c>
      <c r="AJ39" s="13">
        <f>AI39*VLOOKUP('Données projet'!$B$10,Paramètres!$A$1:$I$89,3,0)*VLOOKUP('Données projet'!$B$10,Paramètres!$A$1:$I$89,5,0)</f>
        <v>197.13199999999998</v>
      </c>
      <c r="AK39" s="13">
        <f t="shared" si="35"/>
        <v>49.113339261981388</v>
      </c>
      <c r="AL39" s="20">
        <f t="shared" si="4"/>
        <v>428.87729921461749</v>
      </c>
      <c r="AM39" s="59">
        <f t="shared" si="5"/>
        <v>722.21063254795081</v>
      </c>
      <c r="AN39" s="59">
        <f ca="1">AVERAGE(OFFSET($AM$3,0,0,'Données projet'!$E$10+1,1))-AVERAGE(OFFSET($H$3,0,0,'Données projet'!$E$10+1,1))</f>
        <v>343.36665824683809</v>
      </c>
      <c r="AO39" s="59">
        <f t="shared" si="36"/>
        <v>342.89042241858527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32.435881422843977</v>
      </c>
      <c r="AV39" s="21">
        <f>EXP(-LN(2)/25)*AV38+(1-EXP(-LN(2)/25))/(LN(2)/25)*Calculateur!AQ39*Calculateur!AS39*VLOOKUP('Données projet'!$B$10,Paramètres!$A$1:$I$89,3,0)*0.475*44/12</f>
        <v>25.797574641931575</v>
      </c>
      <c r="AW39" s="21">
        <f>EXP(-LN(2)/2)*AW38+(1-EXP(-LN(2)/2))/(LN(2)/2)*AQ39*AT39*VLOOKUP('Données projet'!$B$10,Paramètres!$A$1:$I$89,3,0)*0.475*44/12</f>
        <v>6.7986815804078713</v>
      </c>
      <c r="AX39" s="21">
        <f t="shared" si="6"/>
        <v>65.032137645183425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13.2</v>
      </c>
      <c r="BD39" s="12">
        <f>IF('Données projet'!$A$88&gt;35,BD38+BC39-BL38,IF(A39&lt;'Données projet'!$A$88,$BA$205^A39,IF(A39='Données projet'!$A$88,'Données projet'!$B$88,BD38+BC39-BL38)))</f>
        <v>219.2000000000001</v>
      </c>
      <c r="BE39" s="13">
        <f>BD39*VLOOKUP('Données projet'!$B$11,Paramètres!$A$1:$I$89,3,0)*VLOOKUP('Données projet'!$B$11,Paramètres!$A$1:$I$89,5,0)</f>
        <v>119.68320000000006</v>
      </c>
      <c r="BF39" s="13">
        <f t="shared" si="37"/>
        <v>31.601099532596194</v>
      </c>
      <c r="BG39" s="20">
        <f t="shared" si="7"/>
        <v>263.48682168593848</v>
      </c>
      <c r="BH39" s="59">
        <f t="shared" si="8"/>
        <v>556.82015501927185</v>
      </c>
      <c r="BI39" s="59">
        <f ca="1">AVERAGE(OFFSET($BH$3,0,0,'Données projet'!$E$11+1,1))-AVERAGE(OFFSET($H$3,0,0,'Données projet'!$E$11+1,1))</f>
        <v>191.96190073146369</v>
      </c>
      <c r="BJ39" s="59">
        <f t="shared" si="38"/>
        <v>224.0560835232115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16.576729603435481</v>
      </c>
      <c r="BQ39" s="21">
        <f>EXP(-LN(2)/25)*BQ38+(1-EXP(-LN(2)/25))/(LN(2)/25)*Calculateur!BL39*Calculateur!BN39*VLOOKUP('Données projet'!$B$11,Paramètres!$A$1:$I$89,3,0)*0.475*44/12</f>
        <v>28.030870278732692</v>
      </c>
      <c r="BR39" s="21">
        <f>EXP(-LN(2)/2)*BR38+(1-EXP(-LN(2)/2))/(LN(2)/2)*BL39*BO39*VLOOKUP('Données projet'!$B$11,Paramètres!$A$1:$I$89,3,0)*0.475*44/12</f>
        <v>5.1357059186845468</v>
      </c>
      <c r="BS39" s="22">
        <f t="shared" si="9"/>
        <v>49.743305800852724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29</v>
      </c>
      <c r="N40" s="13">
        <f>IF('Données projet'!$A$36&gt;35,N39+M40-V39,IF(A40&lt;'Données projet'!$A$36,$K$205^A40,IF(A40='Données projet'!$A$36,'Données projet'!$B$36,N39+M40-V39)))</f>
        <v>445.99999999999989</v>
      </c>
      <c r="O40" s="13">
        <f>N40*VLOOKUP('Données projet'!$B$9,Paramètres!$A$1:$I$89,3,0)*VLOOKUP('Données projet'!$B$9,Paramètres!$A$1:$I$89,5,0)</f>
        <v>249.31399999999994</v>
      </c>
      <c r="P40" s="13">
        <f t="shared" si="33"/>
        <v>60.439020793600939</v>
      </c>
      <c r="Q40" s="20">
        <f t="shared" si="53"/>
        <v>539.48651121552155</v>
      </c>
      <c r="R40" s="59">
        <f t="shared" si="0"/>
        <v>832.81984454885492</v>
      </c>
      <c r="S40" s="59">
        <f ca="1">AVERAGE(OFFSET($R$3,0,0,'Données projet'!$E$9+1,1))-AVERAGE(OFFSET($H$3,0,0,'Données projet'!$E$9+1,1))</f>
        <v>410.71046306000068</v>
      </c>
      <c r="T40" s="59">
        <f t="shared" si="34"/>
        <v>430.43167430170087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50.454993390675142</v>
      </c>
      <c r="AA40" s="21">
        <f>EXP(-LN(2)/25)*AA39+(1-EXP(-LN(2)/25))/(LN(2)/25)*Calculateur!V40*Calculateur!X40*VLOOKUP('Données projet'!$B$9,Paramètres!$A$1:$I$89,3,0)*0.475*44/12</f>
        <v>29.864498974724683</v>
      </c>
      <c r="AB40" s="21">
        <f>EXP(-LN(2)/2)*AB39+(1-EXP(-LN(2)/2))/(LN(2)/2)*V40*Y40*VLOOKUP('Données projet'!$B$9,Paramètres!$A$1:$I$89,3,0)*0.475*44/12</f>
        <v>5.3692010733424</v>
      </c>
      <c r="AC40" s="22">
        <f t="shared" si="3"/>
        <v>85.68869343874222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34</v>
      </c>
      <c r="AI40" s="13">
        <f>IF('Données projet'!$A$62&gt;35,AI39+AH40-AQ39,IF(A40&lt;'Données projet'!$A$62,$AF$205^A40,IF(A40='Données projet'!$A$62,'Données projet'!$B$62,AI39+AH40-AQ39)))</f>
        <v>479.99999999999989</v>
      </c>
      <c r="AJ40" s="13">
        <f>AI40*VLOOKUP('Données projet'!$B$10,Paramètres!$A$1:$I$89,3,0)*VLOOKUP('Données projet'!$B$10,Paramètres!$A$1:$I$89,5,0)</f>
        <v>212.15999999999997</v>
      </c>
      <c r="AK40" s="13">
        <f t="shared" si="35"/>
        <v>52.407318557535369</v>
      </c>
      <c r="AL40" s="20">
        <f t="shared" si="4"/>
        <v>460.78807982104064</v>
      </c>
      <c r="AM40" s="59">
        <f t="shared" si="5"/>
        <v>754.12141315437395</v>
      </c>
      <c r="AN40" s="59">
        <f ca="1">AVERAGE(OFFSET($AM$3,0,0,'Données projet'!$E$10+1,1))-AVERAGE(OFFSET($H$3,0,0,'Données projet'!$E$10+1,1))</f>
        <v>343.36665824683809</v>
      </c>
      <c r="AO40" s="59">
        <f t="shared" si="36"/>
        <v>342.89042241858527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31.799833572076174</v>
      </c>
      <c r="AV40" s="21">
        <f>EXP(-LN(2)/25)*AV39+(1-EXP(-LN(2)/25))/(LN(2)/25)*Calculateur!AQ40*Calculateur!AS40*VLOOKUP('Données projet'!$B$10,Paramètres!$A$1:$I$89,3,0)*0.475*44/12</f>
        <v>25.092138606712467</v>
      </c>
      <c r="AW40" s="21">
        <f>EXP(-LN(2)/2)*AW39+(1-EXP(-LN(2)/2))/(LN(2)/2)*AQ40*AT40*VLOOKUP('Données projet'!$B$10,Paramètres!$A$1:$I$89,3,0)*0.475*44/12</f>
        <v>4.8073938486344803</v>
      </c>
      <c r="AX40" s="21">
        <f t="shared" si="6"/>
        <v>61.699366027423125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13.2</v>
      </c>
      <c r="BD40" s="12">
        <f>IF('Données projet'!$A$88&gt;35,BD39+BC40-BL39,IF(A40&lt;'Données projet'!$A$88,$BA$205^A40,IF(A40='Données projet'!$A$88,'Données projet'!$B$88,BD39+BC40-BL39)))</f>
        <v>232.40000000000009</v>
      </c>
      <c r="BE40" s="13">
        <f>BD40*VLOOKUP('Données projet'!$B$11,Paramètres!$A$1:$I$89,3,0)*VLOOKUP('Données projet'!$B$11,Paramètres!$A$1:$I$89,5,0)</f>
        <v>126.89040000000004</v>
      </c>
      <c r="BF40" s="13">
        <f t="shared" si="37"/>
        <v>33.276812746552586</v>
      </c>
      <c r="BG40" s="20">
        <f t="shared" si="7"/>
        <v>278.95789553357918</v>
      </c>
      <c r="BH40" s="59">
        <f t="shared" si="8"/>
        <v>572.29122886691243</v>
      </c>
      <c r="BI40" s="59">
        <f ca="1">AVERAGE(OFFSET($BH$3,0,0,'Données projet'!$E$11+1,1))-AVERAGE(OFFSET($H$3,0,0,'Données projet'!$E$11+1,1))</f>
        <v>191.96190073146369</v>
      </c>
      <c r="BJ40" s="59">
        <f t="shared" si="38"/>
        <v>224.0560835232115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16.251670046718811</v>
      </c>
      <c r="BQ40" s="21">
        <f>EXP(-LN(2)/25)*BQ39+(1-EXP(-LN(2)/25))/(LN(2)/25)*Calculateur!BL40*Calculateur!BN40*VLOOKUP('Données projet'!$B$11,Paramètres!$A$1:$I$89,3,0)*0.475*44/12</f>
        <v>27.264364656881344</v>
      </c>
      <c r="BR40" s="21">
        <f>EXP(-LN(2)/2)*BR39+(1-EXP(-LN(2)/2))/(LN(2)/2)*BL40*BO40*VLOOKUP('Données projet'!$B$11,Paramètres!$A$1:$I$89,3,0)*0.475*44/12</f>
        <v>3.6314924812817311</v>
      </c>
      <c r="BS40" s="22">
        <f t="shared" si="9"/>
        <v>47.147527184881888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29</v>
      </c>
      <c r="N41" s="13">
        <f>IF('Données projet'!$A$36&gt;35,N40+M41-V40,IF(A41&lt;'Données projet'!$A$36,$K$205^A41,IF(A41='Données projet'!$A$36,'Données projet'!$B$36,N40+M41-V40)))</f>
        <v>474.99999999999989</v>
      </c>
      <c r="O41" s="13">
        <f>N41*VLOOKUP('Données projet'!$B$9,Paramètres!$A$1:$I$89,3,0)*VLOOKUP('Données projet'!$B$9,Paramètres!$A$1:$I$89,5,0)</f>
        <v>265.52499999999992</v>
      </c>
      <c r="P41" s="13">
        <f t="shared" si="33"/>
        <v>63.898639547235121</v>
      </c>
      <c r="Q41" s="20">
        <f t="shared" si="53"/>
        <v>573.74617221143433</v>
      </c>
      <c r="R41" s="59">
        <f t="shared" si="0"/>
        <v>867.0795055447677</v>
      </c>
      <c r="S41" s="59">
        <f ca="1">AVERAGE(OFFSET($R$3,0,0,'Données projet'!$E$9+1,1))-AVERAGE(OFFSET($H$3,0,0,'Données projet'!$E$9+1,1))</f>
        <v>410.71046306000068</v>
      </c>
      <c r="T41" s="59">
        <f t="shared" si="34"/>
        <v>430.43167430170087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49.465601744791243</v>
      </c>
      <c r="AA41" s="21">
        <f>EXP(-LN(2)/25)*AA40+(1-EXP(-LN(2)/25))/(LN(2)/25)*Calculateur!V41*Calculateur!X41*VLOOKUP('Données projet'!$B$9,Paramètres!$A$1:$I$89,3,0)*0.475*44/12</f>
        <v>29.047852679755092</v>
      </c>
      <c r="AB41" s="21">
        <f>EXP(-LN(2)/2)*AB40+(1-EXP(-LN(2)/2))/(LN(2)/2)*V41*Y41*VLOOKUP('Données projet'!$B$9,Paramètres!$A$1:$I$89,3,0)*0.475*44/12</f>
        <v>3.7965984885145008</v>
      </c>
      <c r="AC41" s="22">
        <f t="shared" si="3"/>
        <v>82.310052913060844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34</v>
      </c>
      <c r="AI41" s="13">
        <f>IF('Données projet'!$A$62&gt;35,AI40+AH41-AQ40,IF(A41&lt;'Données projet'!$A$62,$AF$205^A41,IF(A41='Données projet'!$A$62,'Données projet'!$B$62,AI40+AH41-AQ40)))</f>
        <v>513.99999999999989</v>
      </c>
      <c r="AJ41" s="13">
        <f>AI41*VLOOKUP('Données projet'!$B$10,Paramètres!$A$1:$I$89,3,0)*VLOOKUP('Données projet'!$B$10,Paramètres!$A$1:$I$89,5,0)</f>
        <v>227.18799999999996</v>
      </c>
      <c r="AK41" s="13">
        <f t="shared" si="35"/>
        <v>55.674226763576875</v>
      </c>
      <c r="AL41" s="20">
        <f t="shared" si="4"/>
        <v>492.65171161322957</v>
      </c>
      <c r="AM41" s="59">
        <f t="shared" si="5"/>
        <v>785.98504494656288</v>
      </c>
      <c r="AN41" s="59">
        <f ca="1">AVERAGE(OFFSET($AM$3,0,0,'Données projet'!$E$10+1,1))-AVERAGE(OFFSET($H$3,0,0,'Données projet'!$E$10+1,1))</f>
        <v>343.36665824683809</v>
      </c>
      <c r="AO41" s="59">
        <f t="shared" si="36"/>
        <v>342.89042241858527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31.176258231711046</v>
      </c>
      <c r="AV41" s="21">
        <f>EXP(-LN(2)/25)*AV40+(1-EXP(-LN(2)/25))/(LN(2)/25)*Calculateur!AQ41*Calculateur!AS41*VLOOKUP('Données projet'!$B$10,Paramètres!$A$1:$I$89,3,0)*0.475*44/12</f>
        <v>24.405992756973696</v>
      </c>
      <c r="AW41" s="21">
        <f>EXP(-LN(2)/2)*AW40+(1-EXP(-LN(2)/2))/(LN(2)/2)*AQ41*AT41*VLOOKUP('Données projet'!$B$10,Paramètres!$A$1:$I$89,3,0)*0.475*44/12</f>
        <v>3.3993407902039361</v>
      </c>
      <c r="AX41" s="21">
        <f t="shared" si="6"/>
        <v>58.981591778888678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13.2</v>
      </c>
      <c r="BD41" s="12">
        <f>IF('Données projet'!$A$88&gt;35,BD40+BC41-BL40,IF(A41&lt;'Données projet'!$A$88,$BA$205^A41,IF(A41='Données projet'!$A$88,'Données projet'!$B$88,BD40+BC41-BL40)))</f>
        <v>245.60000000000008</v>
      </c>
      <c r="BE41" s="13">
        <f>BD41*VLOOKUP('Données projet'!$B$11,Paramètres!$A$1:$I$89,3,0)*VLOOKUP('Données projet'!$B$11,Paramètres!$A$1:$I$89,5,0)</f>
        <v>134.09760000000006</v>
      </c>
      <c r="BF41" s="13">
        <f t="shared" si="37"/>
        <v>34.941477489420123</v>
      </c>
      <c r="BG41" s="20">
        <f t="shared" si="7"/>
        <v>294.40972662740677</v>
      </c>
      <c r="BH41" s="59">
        <f t="shared" si="8"/>
        <v>587.74305996074008</v>
      </c>
      <c r="BI41" s="59">
        <f ca="1">AVERAGE(OFFSET($BH$3,0,0,'Données projet'!$E$11+1,1))-AVERAGE(OFFSET($H$3,0,0,'Données projet'!$E$11+1,1))</f>
        <v>191.96190073146369</v>
      </c>
      <c r="BJ41" s="59">
        <f t="shared" si="38"/>
        <v>224.0560835232115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15.932984709642602</v>
      </c>
      <c r="BQ41" s="21">
        <f>EXP(-LN(2)/25)*BQ40+(1-EXP(-LN(2)/25))/(LN(2)/25)*Calculateur!BL41*Calculateur!BN41*VLOOKUP('Données projet'!$B$11,Paramètres!$A$1:$I$89,3,0)*0.475*44/12</f>
        <v>26.5188191715683</v>
      </c>
      <c r="BR41" s="21">
        <f>EXP(-LN(2)/2)*BR40+(1-EXP(-LN(2)/2))/(LN(2)/2)*BL41*BO41*VLOOKUP('Données projet'!$B$11,Paramètres!$A$1:$I$89,3,0)*0.475*44/12</f>
        <v>2.5678529593422739</v>
      </c>
      <c r="BS41" s="22">
        <f t="shared" si="9"/>
        <v>45.019656840553175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29</v>
      </c>
      <c r="N42" s="13">
        <f>IF('Données projet'!$A$36&gt;35,N41+M42-V41,IF(A42&lt;'Données projet'!$A$36,$K$205^A42,IF(A42='Données projet'!$A$36,'Données projet'!$B$36,N41+M42-V41)))</f>
        <v>503.99999999999989</v>
      </c>
      <c r="O42" s="13">
        <f>N42*VLOOKUP('Données projet'!$B$9,Paramètres!$A$1:$I$89,3,0)*VLOOKUP('Données projet'!$B$9,Paramètres!$A$1:$I$89,5,0)</f>
        <v>281.73599999999993</v>
      </c>
      <c r="P42" s="13">
        <f t="shared" si="33"/>
        <v>67.333743509453043</v>
      </c>
      <c r="Q42" s="20">
        <f t="shared" si="53"/>
        <v>607.96313661229726</v>
      </c>
      <c r="R42" s="59">
        <f t="shared" si="0"/>
        <v>901.29646994563063</v>
      </c>
      <c r="S42" s="59">
        <f ca="1">AVERAGE(OFFSET($R$3,0,0,'Données projet'!$E$9+1,1))-AVERAGE(OFFSET($H$3,0,0,'Données projet'!$E$9+1,1))</f>
        <v>410.71046306000068</v>
      </c>
      <c r="T42" s="59">
        <f t="shared" si="34"/>
        <v>430.43167430170087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48.495611465613806</v>
      </c>
      <c r="AA42" s="21">
        <f>EXP(-LN(2)/25)*AA41+(1-EXP(-LN(2)/25))/(LN(2)/25)*Calculateur!V42*Calculateur!X42*VLOOKUP('Données projet'!$B$9,Paramètres!$A$1:$I$89,3,0)*0.475*44/12</f>
        <v>28.253537620667007</v>
      </c>
      <c r="AB42" s="21">
        <f>EXP(-LN(2)/2)*AB41+(1-EXP(-LN(2)/2))/(LN(2)/2)*V42*Y42*VLOOKUP('Données projet'!$B$9,Paramètres!$A$1:$I$89,3,0)*0.475*44/12</f>
        <v>2.6846005366712005</v>
      </c>
      <c r="AC42" s="22">
        <f t="shared" si="3"/>
        <v>79.433749622952007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34</v>
      </c>
      <c r="AI42" s="13">
        <f>IF('Données projet'!$A$62&gt;35,AI41+AH42-AQ41,IF(A42&lt;'Données projet'!$A$62,$AF$205^A42,IF(A42='Données projet'!$A$62,'Données projet'!$B$62,AI41+AH42-AQ41)))</f>
        <v>547.99999999999989</v>
      </c>
      <c r="AJ42" s="13">
        <f>AI42*VLOOKUP('Données projet'!$B$10,Paramètres!$A$1:$I$89,3,0)*VLOOKUP('Données projet'!$B$10,Paramètres!$A$1:$I$89,5,0)</f>
        <v>242.21599999999995</v>
      </c>
      <c r="AK42" s="13">
        <f t="shared" si="35"/>
        <v>58.916058339548016</v>
      </c>
      <c r="AL42" s="20">
        <f t="shared" si="4"/>
        <v>524.47166827471267</v>
      </c>
      <c r="AM42" s="59">
        <f t="shared" si="5"/>
        <v>817.80500160804604</v>
      </c>
      <c r="AN42" s="59">
        <f ca="1">AVERAGE(OFFSET($AM$3,0,0,'Données projet'!$E$10+1,1))-AVERAGE(OFFSET($H$3,0,0,'Données projet'!$E$10+1,1))</f>
        <v>343.36665824683809</v>
      </c>
      <c r="AO42" s="59">
        <f t="shared" si="36"/>
        <v>342.89042241858527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30.564910823427073</v>
      </c>
      <c r="AV42" s="21">
        <f>EXP(-LN(2)/25)*AV41+(1-EXP(-LN(2)/25))/(LN(2)/25)*Calculateur!AQ42*Calculateur!AS42*VLOOKUP('Données projet'!$B$10,Paramètres!$A$1:$I$89,3,0)*0.475*44/12</f>
        <v>23.738609601578872</v>
      </c>
      <c r="AW42" s="21">
        <f>EXP(-LN(2)/2)*AW41+(1-EXP(-LN(2)/2))/(LN(2)/2)*AQ42*AT42*VLOOKUP('Données projet'!$B$10,Paramètres!$A$1:$I$89,3,0)*0.475*44/12</f>
        <v>2.4036969243172401</v>
      </c>
      <c r="AX42" s="21">
        <f t="shared" si="6"/>
        <v>56.70721734932318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13.2</v>
      </c>
      <c r="BD42" s="12">
        <f>IF('Données projet'!$A$88&gt;35,BD41+BC42-BL41,IF(A42&lt;'Données projet'!$A$88,$BA$205^A42,IF(A42='Données projet'!$A$88,'Données projet'!$B$88,BD41+BC42-BL41)))</f>
        <v>258.80000000000007</v>
      </c>
      <c r="BE42" s="13">
        <f>BD42*VLOOKUP('Données projet'!$B$11,Paramètres!$A$1:$I$89,3,0)*VLOOKUP('Données projet'!$B$11,Paramètres!$A$1:$I$89,5,0)</f>
        <v>141.30480000000003</v>
      </c>
      <c r="BF42" s="13">
        <f t="shared" si="37"/>
        <v>36.595755275288994</v>
      </c>
      <c r="BG42" s="20">
        <f t="shared" si="7"/>
        <v>309.84346710446169</v>
      </c>
      <c r="BH42" s="59">
        <f t="shared" si="8"/>
        <v>603.17680043779501</v>
      </c>
      <c r="BI42" s="59">
        <f ca="1">AVERAGE(OFFSET($BH$3,0,0,'Données projet'!$E$11+1,1))-AVERAGE(OFFSET($H$3,0,0,'Données projet'!$E$11+1,1))</f>
        <v>191.96190073146369</v>
      </c>
      <c r="BJ42" s="59">
        <f t="shared" si="38"/>
        <v>224.0560835232115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15.620548597647595</v>
      </c>
      <c r="BQ42" s="21">
        <f>EXP(-LN(2)/25)*BQ41+(1-EXP(-LN(2)/25))/(LN(2)/25)*Calculateur!BL42*Calculateur!BN42*VLOOKUP('Données projet'!$B$11,Paramètres!$A$1:$I$89,3,0)*0.475*44/12</f>
        <v>25.793660666757674</v>
      </c>
      <c r="BR42" s="21">
        <f>EXP(-LN(2)/2)*BR41+(1-EXP(-LN(2)/2))/(LN(2)/2)*BL42*BO42*VLOOKUP('Données projet'!$B$11,Paramètres!$A$1:$I$89,3,0)*0.475*44/12</f>
        <v>1.815746240640866</v>
      </c>
      <c r="BS42" s="22">
        <f t="shared" si="9"/>
        <v>43.229955505046135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533</v>
      </c>
      <c r="L43" s="12">
        <f>VLOOKUP(A43,'Données projet'!$A$35:$I$55,9,0)</f>
        <v>29</v>
      </c>
      <c r="M43" s="12">
        <f t="array" ref="M43">INDEX(L:L,MIN(IF(ISNUMBER(L43:L239),ROW(L43:L239),"")))</f>
        <v>29</v>
      </c>
      <c r="N43" s="13">
        <f>IF('Données projet'!$A$36&gt;35,N42+M43-V42,IF(A43&lt;'Données projet'!$A$36,$K$205^A43,IF(A43='Données projet'!$A$36,'Données projet'!$B$36,N42+M43-V42)))</f>
        <v>532.99999999999989</v>
      </c>
      <c r="O43" s="13">
        <f>N43*VLOOKUP('Données projet'!$B$9,Paramètres!$A$1:$I$89,3,0)*VLOOKUP('Données projet'!$B$9,Paramètres!$A$1:$I$89,5,0)</f>
        <v>297.94699999999995</v>
      </c>
      <c r="P43" s="13">
        <f t="shared" si="33"/>
        <v>70.745903965311697</v>
      </c>
      <c r="Q43" s="20">
        <f t="shared" si="53"/>
        <v>642.1401410729178</v>
      </c>
      <c r="R43" s="59">
        <f t="shared" si="0"/>
        <v>935.47347440625117</v>
      </c>
      <c r="S43" s="59">
        <f ca="1">AVERAGE(OFFSET($R$3,0,0,'Données projet'!$E$9+1,1))-AVERAGE(OFFSET($H$3,0,0,'Données projet'!$E$9+1,1))</f>
        <v>410.71046306000068</v>
      </c>
      <c r="T43" s="59">
        <f t="shared" si="34"/>
        <v>430.43167430170087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77</v>
      </c>
      <c r="W43" s="16">
        <f>IF(ISNA(VLOOKUP(A43,'Données projet'!$A$35:$I$55,5,0)),0%,VLOOKUP(A43,'Données projet'!$A$35:$I$55,5,0)*VLOOKUP('Données projet'!$B$9,Paramètres!$A$1:$I$89,7,0))</f>
        <v>0.33</v>
      </c>
      <c r="X43" s="16">
        <f>IF(ISNA(VLOOKUP(A43,'Données projet'!$A$35:$I$55,6,0)),0%,VLOOKUP(A43,'Données projet'!$A$35:$I$55,6,0)*VLOOKUP('Données projet'!$B$9,Paramètres!$A$1:$I$89,7,0))</f>
        <v>0.12100000000000001</v>
      </c>
      <c r="Y43" s="16">
        <f>IF(ISNA(VLOOKUP(A43,'Données projet'!$A$35:$I$55,7,0)),0%,VLOOKUP(A43,'Données projet'!$A$35:$I$55,7,0))</f>
        <v>0.18</v>
      </c>
      <c r="Z43" s="21">
        <f>EXP(-LN(2)/35)*Z42+(1-EXP(-LN(2)/35))/(LN(2)/35)*V43*W43*VLOOKUP('Données projet'!$B$9,Paramètres!$A$1:$I$89,3,0)*0.475*44/12</f>
        <v>66.387415676485148</v>
      </c>
      <c r="AA43" s="21">
        <f>EXP(-LN(2)/25)*AA42+(1-EXP(-LN(2)/25))/(LN(2)/25)*Calculateur!V43*Calculateur!X43*VLOOKUP('Données projet'!$B$9,Paramètres!$A$1:$I$89,3,0)*0.475*44/12</f>
        <v>34.362756692776088</v>
      </c>
      <c r="AB43" s="21">
        <f>EXP(-LN(2)/2)*AB42+(1-EXP(-LN(2)/2))/(LN(2)/2)*V43*Y43*VLOOKUP('Données projet'!$B$9,Paramètres!$A$1:$I$89,3,0)*0.475*44/12</f>
        <v>10.67054070509495</v>
      </c>
      <c r="AC43" s="22">
        <f t="shared" si="3"/>
        <v>111.42071307435619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582</v>
      </c>
      <c r="AG43" s="12">
        <f>VLOOKUP(A43,'Données projet'!$A$61:$I$81,9,0)</f>
        <v>34</v>
      </c>
      <c r="AH43" s="12">
        <f t="array" ref="AH43">INDEX(AG:AG,MIN(IF(ISNUMBER(AG43:AG239),ROW(AG43:AG239),"")))</f>
        <v>34</v>
      </c>
      <c r="AI43" s="13">
        <f>IF('Données projet'!$A$62&gt;35,AI42+AH43-AQ42,IF(A43&lt;'Données projet'!$A$62,$AF$205^A43,IF(A43='Données projet'!$A$62,'Données projet'!$B$62,AI42+AH43-AQ42)))</f>
        <v>581.99999999999989</v>
      </c>
      <c r="AJ43" s="13">
        <f>AI43*VLOOKUP('Données projet'!$B$10,Paramètres!$A$1:$I$89,3,0)*VLOOKUP('Données projet'!$B$10,Paramètres!$A$1:$I$89,5,0)</f>
        <v>257.24399999999997</v>
      </c>
      <c r="AK43" s="13">
        <f t="shared" si="35"/>
        <v>62.134546270312008</v>
      </c>
      <c r="AL43" s="20">
        <f t="shared" si="4"/>
        <v>556.25096808745991</v>
      </c>
      <c r="AM43" s="59">
        <f t="shared" si="5"/>
        <v>849.58430142079328</v>
      </c>
      <c r="AN43" s="59">
        <f ca="1">AVERAGE(OFFSET($AM$3,0,0,'Données projet'!$E$10+1,1))-AVERAGE(OFFSET($H$3,0,0,'Données projet'!$E$10+1,1))</f>
        <v>343.36665824683809</v>
      </c>
      <c r="AO43" s="59">
        <f t="shared" si="36"/>
        <v>342.89042241858527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84</v>
      </c>
      <c r="AR43" s="16">
        <f>IF(ISNA(VLOOKUP(A43,'Données projet'!$A$61:$I$81,5,0)),0%,VLOOKUP(A43,'Données projet'!$A$61:$I$81,5,0)*VLOOKUP('Données projet'!$B$10,Paramètres!$A$1:$I$89,7,0))</f>
        <v>0.33</v>
      </c>
      <c r="AS43" s="16">
        <f>IF(ISNA(VLOOKUP(A43,'Données projet'!$A$61:$I$81,6,0)),0%,VLOOKUP(A43,'Données projet'!$A$61:$I$81,6,0)*VLOOKUP('Données projet'!$B$10,Paramètres!$A$1:$I$89,7,0))</f>
        <v>0.12100000000000001</v>
      </c>
      <c r="AT43" s="16">
        <f>IF(ISNA(VLOOKUP(A43,'Données projet'!$A$61:$I$81,7,0)),0%,VLOOKUP(A43,'Données projet'!$A$61:$I$81,7,0))</f>
        <v>0.18</v>
      </c>
      <c r="AU43" s="21">
        <f>EXP(-LN(2)/35)*AU42+(1-EXP(-LN(2)/35))/(LN(2)/35)*AQ43*AR43*VLOOKUP('Données projet'!$B$10,Paramètres!$A$1:$I$89,3,0)*0.475*44/12</f>
        <v>46.218937648449</v>
      </c>
      <c r="AV43" s="21">
        <f>EXP(-LN(2)/25)*AV42+(1-EXP(-LN(2)/25))/(LN(2)/25)*Calculateur!AQ43*Calculateur!AS43*VLOOKUP('Données projet'!$B$10,Paramètres!$A$1:$I$89,3,0)*0.475*44/12</f>
        <v>29.025585853806458</v>
      </c>
      <c r="AW43" s="21">
        <f>EXP(-LN(2)/2)*AW42+(1-EXP(-LN(2)/2))/(LN(2)/2)*AQ43*AT43*VLOOKUP('Données projet'!$B$10,Paramètres!$A$1:$I$89,3,0)*0.475*44/12</f>
        <v>9.2664241287632407</v>
      </c>
      <c r="AX43" s="21">
        <f t="shared" si="6"/>
        <v>84.510947631018695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272</v>
      </c>
      <c r="BB43" s="12">
        <f>VLOOKUP(A43,'Données projet'!$A$87:$I$107,9,0)</f>
        <v>13.2</v>
      </c>
      <c r="BC43" s="12">
        <f t="array" ref="BC43">INDEX(BB:BB,MIN(IF(ISNUMBER(BB43:BB239),ROW(BB43:BB239),"")))</f>
        <v>13.2</v>
      </c>
      <c r="BD43" s="12">
        <f>IF('Données projet'!$A$88&gt;35,BD42+BC43-BL42,IF(A43&lt;'Données projet'!$A$88,$BA$205^A43,IF(A43='Données projet'!$A$88,'Données projet'!$B$88,BD42+BC43-BL42)))</f>
        <v>272.00000000000006</v>
      </c>
      <c r="BE43" s="13">
        <f>BD43*VLOOKUP('Données projet'!$B$11,Paramètres!$A$1:$I$89,3,0)*VLOOKUP('Données projet'!$B$11,Paramètres!$A$1:$I$89,5,0)</f>
        <v>148.51200000000003</v>
      </c>
      <c r="BF43" s="13">
        <f t="shared" si="37"/>
        <v>38.240236326053513</v>
      </c>
      <c r="BG43" s="20">
        <f t="shared" si="7"/>
        <v>325.26014493454323</v>
      </c>
      <c r="BH43" s="59">
        <f t="shared" si="8"/>
        <v>618.59347826787655</v>
      </c>
      <c r="BI43" s="59">
        <f ca="1">AVERAGE(OFFSET($BH$3,0,0,'Données projet'!$E$11+1,1))-AVERAGE(OFFSET($H$3,0,0,'Données projet'!$E$11+1,1))</f>
        <v>191.96190073146369</v>
      </c>
      <c r="BJ43" s="59">
        <f t="shared" si="38"/>
        <v>224.0560835232115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38</v>
      </c>
      <c r="BM43" s="16">
        <f>IF(ISNA(VLOOKUP(A43,'Données projet'!$A$87:$I$107,5,0)),0%,VLOOKUP(A43,'Données projet'!$A$87:$I$107,5,0)*VLOOKUP('Données projet'!$B$11,Paramètres!$A$1:$I$89,7,0))</f>
        <v>0.24</v>
      </c>
      <c r="BN43" s="16">
        <f>IF(ISNA(VLOOKUP(A43,'Données projet'!$A$87:$I$107,6,0)),0%,VLOOKUP(A43,'Données projet'!$A$87:$I$107,6,0)*VLOOKUP('Données projet'!$B$11,Paramètres!$A$1:$I$89,7,0))</f>
        <v>0.13200000000000001</v>
      </c>
      <c r="BO43" s="16">
        <f>IF(ISNA(VLOOKUP(A43,'Données projet'!$A$87:$I$107,7,0)),0%,VLOOKUP(A43,'Données projet'!$A$87:$I$107,7,0))</f>
        <v>0.18</v>
      </c>
      <c r="BP43" s="21">
        <f>EXP(-LN(2)/35)*BP42+(1-EXP(-LN(2)/35))/(LN(2)/35)*BL43*BM43*VLOOKUP('Données projet'!$B$11,Paramètres!$A$1:$I$89,3,0)*0.475*44/12</f>
        <v>21.919893404391896</v>
      </c>
      <c r="BQ43" s="21">
        <f>EXP(-LN(2)/25)*BQ42+(1-EXP(-LN(2)/25))/(LN(2)/25)*Calculateur!BL43*Calculateur!BN43*VLOOKUP('Données projet'!$B$11,Paramètres!$A$1:$I$89,3,0)*0.475*44/12</f>
        <v>28.707136552102398</v>
      </c>
      <c r="BR43" s="21">
        <f>EXP(-LN(2)/2)*BR42+(1-EXP(-LN(2)/2))/(LN(2)/2)*BL43*BO43*VLOOKUP('Données projet'!$B$11,Paramètres!$A$1:$I$89,3,0)*0.475*44/12</f>
        <v>5.5124065073053767</v>
      </c>
      <c r="BS43" s="22">
        <f t="shared" si="9"/>
        <v>56.139436463799676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26.8</v>
      </c>
      <c r="N44" s="13">
        <f>IF('Données projet'!$A$36&gt;35,N43+M44-V43,IF(A44&lt;'Données projet'!$A$36,$K$205^A44,IF(A44='Données projet'!$A$36,'Données projet'!$B$36,N43+M44-V43)))</f>
        <v>482.79999999999984</v>
      </c>
      <c r="O44" s="13">
        <f>N44*VLOOKUP('Données projet'!$B$9,Paramètres!$A$1:$I$89,3,0)*VLOOKUP('Données projet'!$B$9,Paramètres!$A$1:$I$89,5,0)</f>
        <v>269.88519999999994</v>
      </c>
      <c r="P44" s="13">
        <f t="shared" si="33"/>
        <v>64.824905227492977</v>
      </c>
      <c r="Q44" s="20">
        <f t="shared" si="53"/>
        <v>582.9534332712168</v>
      </c>
      <c r="R44" s="59">
        <f t="shared" si="0"/>
        <v>876.28676660455017</v>
      </c>
      <c r="S44" s="59">
        <f ca="1">AVERAGE(OFFSET($R$3,0,0,'Données projet'!$E$9+1,1))-AVERAGE(OFFSET($H$3,0,0,'Données projet'!$E$9+1,1))</f>
        <v>410.71046306000068</v>
      </c>
      <c r="T44" s="59">
        <f t="shared" si="34"/>
        <v>430.43167430170087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65.085598947394558</v>
      </c>
      <c r="AA44" s="21">
        <f>EXP(-LN(2)/25)*AA43+(1-EXP(-LN(2)/25))/(LN(2)/25)*Calculateur!V44*Calculateur!X44*VLOOKUP('Données projet'!$B$9,Paramètres!$A$1:$I$89,3,0)*0.475*44/12</f>
        <v>33.423105303953285</v>
      </c>
      <c r="AB44" s="21">
        <f>EXP(-LN(2)/2)*AB43+(1-EXP(-LN(2)/2))/(LN(2)/2)*V44*Y44*VLOOKUP('Données projet'!$B$9,Paramètres!$A$1:$I$89,3,0)*0.475*44/12</f>
        <v>7.5452116914997243</v>
      </c>
      <c r="AC44" s="22">
        <f t="shared" si="3"/>
        <v>106.05391594284757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30.6</v>
      </c>
      <c r="AI44" s="13">
        <f>IF('Données projet'!$A$62&gt;35,AI43+AH44-AQ43,IF(A44&lt;'Données projet'!$A$62,$AF$205^A44,IF(A44='Données projet'!$A$62,'Données projet'!$B$62,AI43+AH44-AQ43)))</f>
        <v>528.59999999999991</v>
      </c>
      <c r="AJ44" s="13">
        <f>AI44*VLOOKUP('Données projet'!$B$10,Paramètres!$A$1:$I$89,3,0)*VLOOKUP('Données projet'!$B$10,Paramètres!$A$1:$I$89,5,0)</f>
        <v>233.6412</v>
      </c>
      <c r="AK44" s="13">
        <f t="shared" si="35"/>
        <v>57.0692729250814</v>
      </c>
      <c r="AL44" s="20">
        <f t="shared" si="4"/>
        <v>506.32074034451671</v>
      </c>
      <c r="AM44" s="59">
        <f t="shared" si="5"/>
        <v>799.65407367784996</v>
      </c>
      <c r="AN44" s="59">
        <f ca="1">AVERAGE(OFFSET($AM$3,0,0,'Données projet'!$E$10+1,1))-AVERAGE(OFFSET($H$3,0,0,'Données projet'!$E$10+1,1))</f>
        <v>343.36665824683809</v>
      </c>
      <c r="AO44" s="59">
        <f t="shared" si="36"/>
        <v>342.89042241858527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45.312612471931274</v>
      </c>
      <c r="AV44" s="21">
        <f>EXP(-LN(2)/25)*AV43+(1-EXP(-LN(2)/25))/(LN(2)/25)*Calculateur!AQ44*Calculateur!AS44*VLOOKUP('Données projet'!$B$10,Paramètres!$A$1:$I$89,3,0)*0.475*44/12</f>
        <v>28.231879682244898</v>
      </c>
      <c r="AW44" s="21">
        <f>EXP(-LN(2)/2)*AW43+(1-EXP(-LN(2)/2))/(LN(2)/2)*AQ44*AT44*VLOOKUP('Données projet'!$B$10,Paramètres!$A$1:$I$89,3,0)*0.475*44/12</f>
        <v>6.5523513387991335</v>
      </c>
      <c r="AX44" s="21">
        <f t="shared" si="6"/>
        <v>80.096843492975296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11.8</v>
      </c>
      <c r="BD44" s="12">
        <f>IF('Données projet'!$A$88&gt;35,BD43+BC44-BL43,IF(A44&lt;'Données projet'!$A$88,$BA$205^A44,IF(A44='Données projet'!$A$88,'Données projet'!$B$88,BD43+BC44-BL43)))</f>
        <v>245.80000000000007</v>
      </c>
      <c r="BE44" s="13">
        <f>BD44*VLOOKUP('Données projet'!$B$11,Paramètres!$A$1:$I$89,3,0)*VLOOKUP('Données projet'!$B$11,Paramètres!$A$1:$I$89,5,0)</f>
        <v>134.20680000000002</v>
      </c>
      <c r="BF44" s="13">
        <f t="shared" si="37"/>
        <v>34.966618227769111</v>
      </c>
      <c r="BG44" s="20">
        <f t="shared" si="7"/>
        <v>294.64370341336456</v>
      </c>
      <c r="BH44" s="59">
        <f t="shared" si="8"/>
        <v>587.97703674669788</v>
      </c>
      <c r="BI44" s="59">
        <f ca="1">AVERAGE(OFFSET($BH$3,0,0,'Données projet'!$E$11+1,1))-AVERAGE(OFFSET($H$3,0,0,'Données projet'!$E$11+1,1))</f>
        <v>191.96190073146369</v>
      </c>
      <c r="BJ44" s="59">
        <f t="shared" si="38"/>
        <v>224.0560835232115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21.490057664546587</v>
      </c>
      <c r="BQ44" s="21">
        <f>EXP(-LN(2)/25)*BQ43+(1-EXP(-LN(2)/25))/(LN(2)/25)*Calculateur!BL44*Calculateur!BN44*VLOOKUP('Données projet'!$B$11,Paramètres!$A$1:$I$89,3,0)*0.475*44/12</f>
        <v>27.922138393442456</v>
      </c>
      <c r="BR44" s="21">
        <f>EXP(-LN(2)/2)*BR43+(1-EXP(-LN(2)/2))/(LN(2)/2)*BL44*BO44*VLOOKUP('Données projet'!$B$11,Paramètres!$A$1:$I$89,3,0)*0.475*44/12</f>
        <v>3.8978600219724839</v>
      </c>
      <c r="BS44" s="22">
        <f t="shared" si="9"/>
        <v>53.310056079961527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26.8</v>
      </c>
      <c r="N45" s="13">
        <f>IF('Données projet'!$A$36&gt;35,N44+M45-V44,IF(A45&lt;'Données projet'!$A$36,$K$205^A45,IF(A45='Données projet'!$A$36,'Données projet'!$B$36,N44+M45-V44)))</f>
        <v>509.59999999999985</v>
      </c>
      <c r="O45" s="13">
        <f>N45*VLOOKUP('Données projet'!$B$9,Paramètres!$A$1:$I$89,3,0)*VLOOKUP('Données projet'!$B$9,Paramètres!$A$1:$I$89,5,0)</f>
        <v>284.86639999999994</v>
      </c>
      <c r="P45" s="13">
        <f t="shared" si="33"/>
        <v>67.994385506982709</v>
      </c>
      <c r="Q45" s="20">
        <f t="shared" si="53"/>
        <v>614.56586809132807</v>
      </c>
      <c r="R45" s="59">
        <f t="shared" si="0"/>
        <v>907.89920142466144</v>
      </c>
      <c r="S45" s="59">
        <f ca="1">AVERAGE(OFFSET($R$3,0,0,'Données projet'!$E$9+1,1))-AVERAGE(OFFSET($H$3,0,0,'Données projet'!$E$9+1,1))</f>
        <v>410.71046306000068</v>
      </c>
      <c r="T45" s="59">
        <f t="shared" si="34"/>
        <v>430.43167430170087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63.809310050331625</v>
      </c>
      <c r="AA45" s="21">
        <f>EXP(-LN(2)/25)*AA44+(1-EXP(-LN(2)/25))/(LN(2)/25)*Calculateur!V45*Calculateur!X45*VLOOKUP('Données projet'!$B$9,Paramètres!$A$1:$I$89,3,0)*0.475*44/12</f>
        <v>32.509148731771965</v>
      </c>
      <c r="AB45" s="21">
        <f>EXP(-LN(2)/2)*AB44+(1-EXP(-LN(2)/2))/(LN(2)/2)*V45*Y45*VLOOKUP('Données projet'!$B$9,Paramètres!$A$1:$I$89,3,0)*0.475*44/12</f>
        <v>5.3352703525474761</v>
      </c>
      <c r="AC45" s="22">
        <f t="shared" si="3"/>
        <v>101.65372913465107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30.6</v>
      </c>
      <c r="AI45" s="13">
        <f>IF('Données projet'!$A$62&gt;35,AI44+AH45-AQ44,IF(A45&lt;'Données projet'!$A$62,$AF$205^A45,IF(A45='Données projet'!$A$62,'Données projet'!$B$62,AI44+AH45-AQ44)))</f>
        <v>559.19999999999993</v>
      </c>
      <c r="AJ45" s="13">
        <f>AI45*VLOOKUP('Données projet'!$B$10,Paramètres!$A$1:$I$89,3,0)*VLOOKUP('Données projet'!$B$10,Paramètres!$A$1:$I$89,5,0)</f>
        <v>247.16639999999998</v>
      </c>
      <c r="AK45" s="13">
        <f t="shared" si="35"/>
        <v>59.97876609639065</v>
      </c>
      <c r="AL45" s="20">
        <f t="shared" si="4"/>
        <v>534.9444976178803</v>
      </c>
      <c r="AM45" s="59">
        <f t="shared" si="5"/>
        <v>828.27783095121367</v>
      </c>
      <c r="AN45" s="59">
        <f ca="1">AVERAGE(OFFSET($AM$3,0,0,'Données projet'!$E$10+1,1))-AVERAGE(OFFSET($H$3,0,0,'Données projet'!$E$10+1,1))</f>
        <v>343.36665824683809</v>
      </c>
      <c r="AO45" s="59">
        <f t="shared" si="36"/>
        <v>342.89042241858527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44.42405977932129</v>
      </c>
      <c r="AV45" s="21">
        <f>EXP(-LN(2)/25)*AV44+(1-EXP(-LN(2)/25))/(LN(2)/25)*Calculateur!AQ45*Calculateur!AS45*VLOOKUP('Données projet'!$B$10,Paramètres!$A$1:$I$89,3,0)*0.475*44/12</f>
        <v>27.459877447683883</v>
      </c>
      <c r="AW45" s="21">
        <f>EXP(-LN(2)/2)*AW44+(1-EXP(-LN(2)/2))/(LN(2)/2)*AQ45*AT45*VLOOKUP('Données projet'!$B$10,Paramètres!$A$1:$I$89,3,0)*0.475*44/12</f>
        <v>4.6332120643816213</v>
      </c>
      <c r="AX45" s="21">
        <f t="shared" si="6"/>
        <v>76.517149291386801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11.8</v>
      </c>
      <c r="BD45" s="12">
        <f>IF('Données projet'!$A$88&gt;35,BD44+BC45-BL44,IF(A45&lt;'Données projet'!$A$88,$BA$205^A45,IF(A45='Données projet'!$A$88,'Données projet'!$B$88,BD44+BC45-BL44)))</f>
        <v>257.60000000000008</v>
      </c>
      <c r="BE45" s="13">
        <f>BD45*VLOOKUP('Données projet'!$B$11,Paramètres!$A$1:$I$89,3,0)*VLOOKUP('Données projet'!$B$11,Paramètres!$A$1:$I$89,5,0)</f>
        <v>140.64960000000005</v>
      </c>
      <c r="BF45" s="13">
        <f t="shared" si="37"/>
        <v>36.445779615258637</v>
      </c>
      <c r="BG45" s="20">
        <f t="shared" si="7"/>
        <v>308.44111949657554</v>
      </c>
      <c r="BH45" s="59">
        <f t="shared" si="8"/>
        <v>601.7744528299088</v>
      </c>
      <c r="BI45" s="59">
        <f ca="1">AVERAGE(OFFSET($BH$3,0,0,'Données projet'!$E$11+1,1))-AVERAGE(OFFSET($H$3,0,0,'Données projet'!$E$11+1,1))</f>
        <v>191.96190073146369</v>
      </c>
      <c r="BJ45" s="59">
        <f t="shared" si="38"/>
        <v>224.0560835232115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21.068650741385731</v>
      </c>
      <c r="BQ45" s="21">
        <f>EXP(-LN(2)/25)*BQ44+(1-EXP(-LN(2)/25))/(LN(2)/25)*Calculateur!BL45*Calculateur!BN45*VLOOKUP('Données projet'!$B$11,Paramètres!$A$1:$I$89,3,0)*0.475*44/12</f>
        <v>27.158606050712329</v>
      </c>
      <c r="BR45" s="21">
        <f>EXP(-LN(2)/2)*BR44+(1-EXP(-LN(2)/2))/(LN(2)/2)*BL45*BO45*VLOOKUP('Données projet'!$B$11,Paramètres!$A$1:$I$89,3,0)*0.475*44/12</f>
        <v>2.7562032536526888</v>
      </c>
      <c r="BS45" s="22">
        <f t="shared" si="9"/>
        <v>50.983460045750746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26.8</v>
      </c>
      <c r="N46" s="13">
        <f>IF('Données projet'!$A$36&gt;35,N45+M46-V45,IF(A46&lt;'Données projet'!$A$36,$K$205^A46,IF(A46='Données projet'!$A$36,'Données projet'!$B$36,N45+M46-V45)))</f>
        <v>536.39999999999986</v>
      </c>
      <c r="O46" s="13">
        <f>N46*VLOOKUP('Données projet'!$B$9,Paramètres!$A$1:$I$89,3,0)*VLOOKUP('Données projet'!$B$9,Paramètres!$A$1:$I$89,5,0)</f>
        <v>299.84759999999994</v>
      </c>
      <c r="P46" s="13">
        <f t="shared" si="33"/>
        <v>71.144513637172878</v>
      </c>
      <c r="Q46" s="20">
        <f t="shared" si="53"/>
        <v>646.14459791807587</v>
      </c>
      <c r="R46" s="59">
        <f t="shared" si="0"/>
        <v>939.47793125140925</v>
      </c>
      <c r="S46" s="59">
        <f ca="1">AVERAGE(OFFSET($R$3,0,0,'Données projet'!$E$9+1,1))-AVERAGE(OFFSET($H$3,0,0,'Données projet'!$E$9+1,1))</f>
        <v>410.71046306000068</v>
      </c>
      <c r="T46" s="59">
        <f t="shared" si="34"/>
        <v>430.43167430170087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62.558048400080736</v>
      </c>
      <c r="AA46" s="21">
        <f>EXP(-LN(2)/25)*AA45+(1-EXP(-LN(2)/25))/(LN(2)/25)*Calculateur!V46*Calculateur!X46*VLOOKUP('Données projet'!$B$9,Paramètres!$A$1:$I$89,3,0)*0.475*44/12</f>
        <v>31.620184350119828</v>
      </c>
      <c r="AB46" s="21">
        <f>EXP(-LN(2)/2)*AB45+(1-EXP(-LN(2)/2))/(LN(2)/2)*V46*Y46*VLOOKUP('Données projet'!$B$9,Paramètres!$A$1:$I$89,3,0)*0.475*44/12</f>
        <v>3.7726058457498626</v>
      </c>
      <c r="AC46" s="22">
        <f t="shared" si="3"/>
        <v>97.95083859595043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30.6</v>
      </c>
      <c r="AI46" s="13">
        <f>IF('Données projet'!$A$62&gt;35,AI45+AH46-AQ45,IF(A46&lt;'Données projet'!$A$62,$AF$205^A46,IF(A46='Données projet'!$A$62,'Données projet'!$B$62,AI45+AH46-AQ45)))</f>
        <v>589.79999999999995</v>
      </c>
      <c r="AJ46" s="13">
        <f>AI46*VLOOKUP('Données projet'!$B$10,Paramètres!$A$1:$I$89,3,0)*VLOOKUP('Données projet'!$B$10,Paramètres!$A$1:$I$89,5,0)</f>
        <v>260.69160000000005</v>
      </c>
      <c r="AK46" s="13">
        <f t="shared" si="35"/>
        <v>62.869776327967045</v>
      </c>
      <c r="AL46" s="20">
        <f t="shared" si="4"/>
        <v>563.53606377120934</v>
      </c>
      <c r="AM46" s="59">
        <f t="shared" si="5"/>
        <v>856.86939710454271</v>
      </c>
      <c r="AN46" s="59">
        <f ca="1">AVERAGE(OFFSET($AM$3,0,0,'Données projet'!$E$10+1,1))-AVERAGE(OFFSET($H$3,0,0,'Données projet'!$E$10+1,1))</f>
        <v>343.36665824683809</v>
      </c>
      <c r="AO46" s="59">
        <f t="shared" si="36"/>
        <v>342.89042241858527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43.552931063049755</v>
      </c>
      <c r="AV46" s="21">
        <f>EXP(-LN(2)/25)*AV45+(1-EXP(-LN(2)/25))/(LN(2)/25)*Calculateur!AQ46*Calculateur!AS46*VLOOKUP('Données projet'!$B$10,Paramètres!$A$1:$I$89,3,0)*0.475*44/12</f>
        <v>26.708985654824772</v>
      </c>
      <c r="AW46" s="21">
        <f>EXP(-LN(2)/2)*AW45+(1-EXP(-LN(2)/2))/(LN(2)/2)*AQ46*AT46*VLOOKUP('Données projet'!$B$10,Paramètres!$A$1:$I$89,3,0)*0.475*44/12</f>
        <v>3.2761756693995676</v>
      </c>
      <c r="AX46" s="21">
        <f t="shared" si="6"/>
        <v>73.538092387274091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11.8</v>
      </c>
      <c r="BD46" s="12">
        <f>IF('Données projet'!$A$88&gt;35,BD45+BC46-BL45,IF(A46&lt;'Données projet'!$A$88,$BA$205^A46,IF(A46='Données projet'!$A$88,'Données projet'!$B$88,BD45+BC46-BL45)))</f>
        <v>269.40000000000009</v>
      </c>
      <c r="BE46" s="13">
        <f>BD46*VLOOKUP('Données projet'!$B$11,Paramètres!$A$1:$I$89,3,0)*VLOOKUP('Données projet'!$B$11,Paramètres!$A$1:$I$89,5,0)</f>
        <v>147.09240000000005</v>
      </c>
      <c r="BF46" s="13">
        <f t="shared" si="37"/>
        <v>37.917072215873553</v>
      </c>
      <c r="BG46" s="20">
        <f t="shared" si="7"/>
        <v>322.22483077597991</v>
      </c>
      <c r="BH46" s="59">
        <f t="shared" si="8"/>
        <v>615.55816410931322</v>
      </c>
      <c r="BI46" s="59">
        <f ca="1">AVERAGE(OFFSET($BH$3,0,0,'Données projet'!$E$11+1,1))-AVERAGE(OFFSET($H$3,0,0,'Données projet'!$E$11+1,1))</f>
        <v>191.96190073146369</v>
      </c>
      <c r="BJ46" s="59">
        <f t="shared" si="38"/>
        <v>224.0560835232115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20.655507350955219</v>
      </c>
      <c r="BQ46" s="21">
        <f>EXP(-LN(2)/25)*BQ45+(1-EXP(-LN(2)/25))/(LN(2)/25)*Calculateur!BL46*Calculateur!BN46*VLOOKUP('Données projet'!$B$11,Paramètres!$A$1:$I$89,3,0)*0.475*44/12</f>
        <v>26.415952540046579</v>
      </c>
      <c r="BR46" s="21">
        <f>EXP(-LN(2)/2)*BR45+(1-EXP(-LN(2)/2))/(LN(2)/2)*BL46*BO46*VLOOKUP('Données projet'!$B$11,Paramètres!$A$1:$I$89,3,0)*0.475*44/12</f>
        <v>1.9489300109862424</v>
      </c>
      <c r="BS46" s="22">
        <f t="shared" si="9"/>
        <v>49.02038990198804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26.8</v>
      </c>
      <c r="N47" s="13">
        <f>IF('Données projet'!$A$36&gt;35,N46+M47-V46,IF(A47&lt;'Données projet'!$A$36,$K$205^A47,IF(A47='Données projet'!$A$36,'Données projet'!$B$36,N46+M47-V46)))</f>
        <v>563.19999999999982</v>
      </c>
      <c r="O47" s="13">
        <f>N47*VLOOKUP('Données projet'!$B$9,Paramètres!$A$1:$I$89,3,0)*VLOOKUP('Données projet'!$B$9,Paramètres!$A$1:$I$89,5,0)</f>
        <v>314.82879999999994</v>
      </c>
      <c r="P47" s="13">
        <f t="shared" si="33"/>
        <v>74.276366834686598</v>
      </c>
      <c r="Q47" s="20">
        <f t="shared" si="53"/>
        <v>677.6914989037457</v>
      </c>
      <c r="R47" s="59">
        <f t="shared" si="0"/>
        <v>971.02483223707895</v>
      </c>
      <c r="S47" s="59">
        <f ca="1">AVERAGE(OFFSET($R$3,0,0,'Données projet'!$E$9+1,1))-AVERAGE(OFFSET($H$3,0,0,'Données projet'!$E$9+1,1))</f>
        <v>410.71046306000068</v>
      </c>
      <c r="T47" s="59">
        <f t="shared" si="34"/>
        <v>430.43167430170087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61.331323227597018</v>
      </c>
      <c r="AA47" s="21">
        <f>EXP(-LN(2)/25)*AA46+(1-EXP(-LN(2)/25))/(LN(2)/25)*Calculateur!V47*Calculateur!X47*VLOOKUP('Données projet'!$B$9,Paramètres!$A$1:$I$89,3,0)*0.475*44/12</f>
        <v>30.755528746232574</v>
      </c>
      <c r="AB47" s="21">
        <f>EXP(-LN(2)/2)*AB46+(1-EXP(-LN(2)/2))/(LN(2)/2)*V47*Y47*VLOOKUP('Données projet'!$B$9,Paramètres!$A$1:$I$89,3,0)*0.475*44/12</f>
        <v>2.6676351762737385</v>
      </c>
      <c r="AC47" s="22">
        <f t="shared" si="3"/>
        <v>94.75448715010333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30.6</v>
      </c>
      <c r="AI47" s="13">
        <f>IF('Données projet'!$A$62&gt;35,AI46+AH47-AQ46,IF(A47&lt;'Données projet'!$A$62,$AF$205^A47,IF(A47='Données projet'!$A$62,'Données projet'!$B$62,AI46+AH47-AQ46)))</f>
        <v>620.4</v>
      </c>
      <c r="AJ47" s="13">
        <f>AI47*VLOOKUP('Données projet'!$B$10,Paramètres!$A$1:$I$89,3,0)*VLOOKUP('Données projet'!$B$10,Paramètres!$A$1:$I$89,5,0)</f>
        <v>274.21680000000003</v>
      </c>
      <c r="AK47" s="13">
        <f t="shared" si="35"/>
        <v>65.743371927752975</v>
      </c>
      <c r="AL47" s="20">
        <f t="shared" si="4"/>
        <v>592.09729944083642</v>
      </c>
      <c r="AM47" s="59">
        <f t="shared" si="5"/>
        <v>885.43063277416968</v>
      </c>
      <c r="AN47" s="59">
        <f ca="1">AVERAGE(OFFSET($AM$3,0,0,'Données projet'!$E$10+1,1))-AVERAGE(OFFSET($H$3,0,0,'Données projet'!$E$10+1,1))</f>
        <v>343.36665824683809</v>
      </c>
      <c r="AO47" s="59">
        <f t="shared" si="36"/>
        <v>342.89042241858527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42.698884649568257</v>
      </c>
      <c r="AV47" s="21">
        <f>EXP(-LN(2)/25)*AV46+(1-EXP(-LN(2)/25))/(LN(2)/25)*Calculateur!AQ47*Calculateur!AS47*VLOOKUP('Données projet'!$B$10,Paramètres!$A$1:$I$89,3,0)*0.475*44/12</f>
        <v>25.978627037529076</v>
      </c>
      <c r="AW47" s="21">
        <f>EXP(-LN(2)/2)*AW46+(1-EXP(-LN(2)/2))/(LN(2)/2)*AQ47*AT47*VLOOKUP('Données projet'!$B$10,Paramètres!$A$1:$I$89,3,0)*0.475*44/12</f>
        <v>2.3166060321908111</v>
      </c>
      <c r="AX47" s="21">
        <f t="shared" si="6"/>
        <v>70.994117719288141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11.8</v>
      </c>
      <c r="BD47" s="12">
        <f>IF('Données projet'!$A$88&gt;35,BD46+BC47-BL46,IF(A47&lt;'Données projet'!$A$88,$BA$205^A47,IF(A47='Données projet'!$A$88,'Données projet'!$B$88,BD46+BC47-BL46)))</f>
        <v>281.2000000000001</v>
      </c>
      <c r="BE47" s="13">
        <f>BD47*VLOOKUP('Données projet'!$B$11,Paramètres!$A$1:$I$89,3,0)*VLOOKUP('Données projet'!$B$11,Paramètres!$A$1:$I$89,5,0)</f>
        <v>153.53520000000006</v>
      </c>
      <c r="BF47" s="13">
        <f t="shared" si="37"/>
        <v>39.380880080709709</v>
      </c>
      <c r="BG47" s="20">
        <f t="shared" si="7"/>
        <v>335.99550614056949</v>
      </c>
      <c r="BH47" s="59">
        <f t="shared" si="8"/>
        <v>629.3288394739028</v>
      </c>
      <c r="BI47" s="59">
        <f ca="1">AVERAGE(OFFSET($BH$3,0,0,'Données projet'!$E$11+1,1))-AVERAGE(OFFSET($H$3,0,0,'Données projet'!$E$11+1,1))</f>
        <v>191.96190073146369</v>
      </c>
      <c r="BJ47" s="59">
        <f t="shared" si="38"/>
        <v>224.0560835232115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20.25046545041846</v>
      </c>
      <c r="BQ47" s="21">
        <f>EXP(-LN(2)/25)*BQ46+(1-EXP(-LN(2)/25))/(LN(2)/25)*Calculateur!BL47*Calculateur!BN47*VLOOKUP('Données projet'!$B$11,Paramètres!$A$1:$I$89,3,0)*0.475*44/12</f>
        <v>25.693606928684435</v>
      </c>
      <c r="BR47" s="21">
        <f>EXP(-LN(2)/2)*BR46+(1-EXP(-LN(2)/2))/(LN(2)/2)*BL47*BO47*VLOOKUP('Données projet'!$B$11,Paramètres!$A$1:$I$89,3,0)*0.475*44/12</f>
        <v>1.3781016268263446</v>
      </c>
      <c r="BS47" s="22">
        <f t="shared" si="9"/>
        <v>47.322174005929234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590</v>
      </c>
      <c r="L48" s="12">
        <f>VLOOKUP(A48,'Données projet'!$A$35:$I$55,9,0)</f>
        <v>26.8</v>
      </c>
      <c r="M48" s="12">
        <f t="array" ref="M48">INDEX(L:L,MIN(IF(ISNUMBER(L48:L244),ROW(L48:L244),"")))</f>
        <v>26.8</v>
      </c>
      <c r="N48" s="13">
        <f>IF('Données projet'!$A$36&gt;35,N47+M48-V47,IF(A48&lt;'Données projet'!$A$36,$K$205^A48,IF(A48='Données projet'!$A$36,'Données projet'!$B$36,N47+M48-V47)))</f>
        <v>589.99999999999977</v>
      </c>
      <c r="O48" s="13">
        <f>N48*VLOOKUP('Données projet'!$B$9,Paramètres!$A$1:$I$89,3,0)*VLOOKUP('Données projet'!$B$9,Paramètres!$A$1:$I$89,5,0)</f>
        <v>329.80999999999989</v>
      </c>
      <c r="P48" s="13">
        <f t="shared" si="33"/>
        <v>77.390914004010796</v>
      </c>
      <c r="Q48" s="20">
        <f t="shared" si="53"/>
        <v>709.20825855698513</v>
      </c>
      <c r="R48" s="59">
        <f t="shared" si="0"/>
        <v>1002.5415918903184</v>
      </c>
      <c r="S48" s="59">
        <f ca="1">AVERAGE(OFFSET($R$3,0,0,'Données projet'!$E$9+1,1))-AVERAGE(OFFSET($H$3,0,0,'Données projet'!$E$9+1,1))</f>
        <v>410.71046306000068</v>
      </c>
      <c r="T48" s="59">
        <f t="shared" si="34"/>
        <v>430.43167430170087</v>
      </c>
      <c r="U48" s="15">
        <f>IF(ISNA(VLOOKUP(A48,'Données projet'!$A$35:$I$55,3,0)),0,VLOOKUP(A48,'Données projet'!$A$35:$I$55,3,0))</f>
        <v>8</v>
      </c>
      <c r="V48" s="15">
        <f>IF(ISNA(VLOOKUP(A48,'Données projet'!$A$35:$I$55,4,0)),0,VLOOKUP(A48,'Données projet'!$A$35:$I$55,4,0))</f>
        <v>76</v>
      </c>
      <c r="W48" s="16">
        <f>IF(ISNA(VLOOKUP(A48,'Données projet'!$A$35:$I$55,5,0)),0%,VLOOKUP(A48,'Données projet'!$A$35:$I$55,5,0)*VLOOKUP('Données projet'!$B$9,Paramètres!$A$1:$I$89,7,0))</f>
        <v>0.33</v>
      </c>
      <c r="X48" s="16">
        <f>IF(ISNA(VLOOKUP(A48,'Données projet'!$A$35:$I$55,6,0)),0%,VLOOKUP(A48,'Données projet'!$A$35:$I$55,6,0)*VLOOKUP('Données projet'!$B$9,Paramètres!$A$1:$I$89,7,0))</f>
        <v>0.12100000000000001</v>
      </c>
      <c r="Y48" s="16">
        <f>IF(ISNA(VLOOKUP(A48,'Données projet'!$A$35:$I$55,7,0)),0%,VLOOKUP(A48,'Données projet'!$A$35:$I$55,7,0))</f>
        <v>0.18</v>
      </c>
      <c r="Z48" s="21">
        <f>EXP(-LN(2)/35)*Z47+(1-EXP(-LN(2)/35))/(LN(2)/35)*V48*W48*VLOOKUP('Données projet'!$B$9,Paramètres!$A$1:$I$89,3,0)*0.475*44/12</f>
        <v>78.726715614732058</v>
      </c>
      <c r="AA48" s="21">
        <f>EXP(-LN(2)/25)*AA47+(1-EXP(-LN(2)/25))/(LN(2)/25)*Calculateur!V48*Calculateur!X48*VLOOKUP('Données projet'!$B$9,Paramètres!$A$1:$I$89,3,0)*0.475*44/12</f>
        <v>36.70695653756718</v>
      </c>
      <c r="AB48" s="21">
        <f>EXP(-LN(2)/2)*AB47+(1-EXP(-LN(2)/2))/(LN(2)/2)*V48*Y48*VLOOKUP('Données projet'!$B$9,Paramètres!$A$1:$I$89,3,0)*0.475*44/12</f>
        <v>10.544619169935519</v>
      </c>
      <c r="AC48" s="22">
        <f t="shared" si="3"/>
        <v>125.97829132223475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651</v>
      </c>
      <c r="AG48" s="12">
        <f>VLOOKUP(A48,'Données projet'!$A$61:$I$81,9,0)</f>
        <v>30.6</v>
      </c>
      <c r="AH48" s="12">
        <f t="array" ref="AH48">INDEX(AG:AG,MIN(IF(ISNUMBER(AG48:AG244),ROW(AG48:AG244),"")))</f>
        <v>30.6</v>
      </c>
      <c r="AI48" s="13">
        <f>IF('Données projet'!$A$62&gt;35,AI47+AH48-AQ47,IF(A48&lt;'Données projet'!$A$62,$AF$205^A48,IF(A48='Données projet'!$A$62,'Données projet'!$B$62,AI47+AH48-AQ47)))</f>
        <v>651</v>
      </c>
      <c r="AJ48" s="13">
        <f>AI48*VLOOKUP('Données projet'!$B$10,Paramètres!$A$1:$I$89,3,0)*VLOOKUP('Données projet'!$B$10,Paramètres!$A$1:$I$89,5,0)</f>
        <v>287.74200000000002</v>
      </c>
      <c r="AK48" s="13">
        <f t="shared" si="35"/>
        <v>68.600509865830645</v>
      </c>
      <c r="AL48" s="20">
        <f t="shared" si="4"/>
        <v>620.62987134965499</v>
      </c>
      <c r="AM48" s="59">
        <f t="shared" si="5"/>
        <v>913.96320468298836</v>
      </c>
      <c r="AN48" s="59">
        <f ca="1">AVERAGE(OFFSET($AM$3,0,0,'Données projet'!$E$10+1,1))-AVERAGE(OFFSET($H$3,0,0,'Données projet'!$E$10+1,1))</f>
        <v>343.36665824683809</v>
      </c>
      <c r="AO48" s="59">
        <f t="shared" si="36"/>
        <v>342.89042241858527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69</v>
      </c>
      <c r="AR48" s="16">
        <f>IF(ISNA(VLOOKUP(A48,'Données projet'!$A$61:$I$81,5,0)),0%,VLOOKUP(A48,'Données projet'!$A$61:$I$81,5,0)*VLOOKUP('Données projet'!$B$10,Paramètres!$A$1:$I$89,7,0))</f>
        <v>0.33</v>
      </c>
      <c r="AS48" s="16">
        <f>IF(ISNA(VLOOKUP(A48,'Données projet'!$A$61:$I$81,6,0)),0%,VLOOKUP(A48,'Données projet'!$A$61:$I$81,6,0)*VLOOKUP('Données projet'!$B$10,Paramètres!$A$1:$I$89,7,0))</f>
        <v>0.12100000000000001</v>
      </c>
      <c r="AT48" s="16">
        <f>IF(ISNA(VLOOKUP(A48,'Données projet'!$A$61:$I$81,7,0)),0%,VLOOKUP(A48,'Données projet'!$A$61:$I$81,7,0))</f>
        <v>0.18</v>
      </c>
      <c r="AU48" s="21">
        <f>EXP(-LN(2)/35)*AU47+(1-EXP(-LN(2)/35))/(LN(2)/35)*AQ48*AR48*VLOOKUP('Données projet'!$B$10,Paramètres!$A$1:$I$89,3,0)*0.475*44/12</f>
        <v>55.212581276796634</v>
      </c>
      <c r="AV48" s="21">
        <f>EXP(-LN(2)/25)*AV47+(1-EXP(-LN(2)/25))/(LN(2)/25)*Calculateur!AQ48*Calculateur!AS48*VLOOKUP('Données projet'!$B$10,Paramètres!$A$1:$I$89,3,0)*0.475*44/12</f>
        <v>30.144330291576424</v>
      </c>
      <c r="AW48" s="21">
        <f>EXP(-LN(2)/2)*AW47+(1-EXP(-LN(2)/2))/(LN(2)/2)*AQ48*AT48*VLOOKUP('Données projet'!$B$10,Paramètres!$A$1:$I$89,3,0)*0.475*44/12</f>
        <v>7.8536355444929722</v>
      </c>
      <c r="AX48" s="21">
        <f t="shared" si="6"/>
        <v>93.210547112866024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293</v>
      </c>
      <c r="BB48" s="12">
        <f>VLOOKUP(A48,'Données projet'!$A$87:$I$107,9,0)</f>
        <v>11.8</v>
      </c>
      <c r="BC48" s="12">
        <f t="array" ref="BC48">INDEX(BB:BB,MIN(IF(ISNUMBER(BB48:BB244),ROW(BB48:BB244),"")))</f>
        <v>11.8</v>
      </c>
      <c r="BD48" s="12">
        <f>IF('Données projet'!$A$88&gt;35,BD47+BC48-BL47,IF(A48&lt;'Données projet'!$A$88,$BA$205^A48,IF(A48='Données projet'!$A$88,'Données projet'!$B$88,BD47+BC48-BL47)))</f>
        <v>293.00000000000011</v>
      </c>
      <c r="BE48" s="13">
        <f>BD48*VLOOKUP('Données projet'!$B$11,Paramètres!$A$1:$I$89,3,0)*VLOOKUP('Données projet'!$B$11,Paramètres!$A$1:$I$89,5,0)</f>
        <v>159.97800000000007</v>
      </c>
      <c r="BF48" s="13">
        <f t="shared" si="37"/>
        <v>40.8375532055748</v>
      </c>
      <c r="BG48" s="20">
        <f t="shared" si="7"/>
        <v>349.75375516637615</v>
      </c>
      <c r="BH48" s="59">
        <f t="shared" si="8"/>
        <v>643.08708849970947</v>
      </c>
      <c r="BI48" s="59">
        <f ca="1">AVERAGE(OFFSET($BH$3,0,0,'Données projet'!$E$11+1,1))-AVERAGE(OFFSET($H$3,0,0,'Données projet'!$E$11+1,1))</f>
        <v>191.96190073146369</v>
      </c>
      <c r="BJ48" s="59">
        <f t="shared" si="38"/>
        <v>224.0560835232115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34</v>
      </c>
      <c r="BM48" s="16">
        <f>IF(ISNA(VLOOKUP(A48,'Données projet'!$A$87:$I$107,5,0)),0%,VLOOKUP(A48,'Données projet'!$A$87:$I$107,5,0)*VLOOKUP('Données projet'!$B$11,Paramètres!$A$1:$I$89,7,0))</f>
        <v>0.36</v>
      </c>
      <c r="BN48" s="16">
        <f>IF(ISNA(VLOOKUP(A48,'Données projet'!$A$87:$I$107,6,0)),0%,VLOOKUP(A48,'Données projet'!$A$87:$I$107,6,0)*VLOOKUP('Données projet'!$B$11,Paramètres!$A$1:$I$89,7,0))</f>
        <v>0.13200000000000001</v>
      </c>
      <c r="BO48" s="16">
        <f>IF(ISNA(VLOOKUP(A48,'Données projet'!$A$87:$I$107,7,0)),0%,VLOOKUP(A48,'Données projet'!$A$87:$I$107,7,0))</f>
        <v>0.18</v>
      </c>
      <c r="BP48" s="21">
        <f>EXP(-LN(2)/35)*BP47+(1-EXP(-LN(2)/35))/(LN(2)/35)*BL48*BM48*VLOOKUP('Données projet'!$B$11,Paramètres!$A$1:$I$89,3,0)*0.475*44/12</f>
        <v>28.718849492780727</v>
      </c>
      <c r="BQ48" s="21">
        <f>EXP(-LN(2)/25)*BQ47+(1-EXP(-LN(2)/25))/(LN(2)/25)*Calculateur!BL48*Calculateur!BN48*VLOOKUP('Données projet'!$B$11,Paramètres!$A$1:$I$89,3,0)*0.475*44/12</f>
        <v>28.22889195794712</v>
      </c>
      <c r="BR48" s="21">
        <f>EXP(-LN(2)/2)*BR47+(1-EXP(-LN(2)/2))/(LN(2)/2)*BL48*BO48*VLOOKUP('Données projet'!$B$11,Paramètres!$A$1:$I$89,3,0)*0.475*44/12</f>
        <v>4.7578418723237572</v>
      </c>
      <c r="BS48" s="22">
        <f t="shared" si="9"/>
        <v>61.705583323051606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24.4</v>
      </c>
      <c r="N49" s="13">
        <f>IF('Données projet'!$A$36&gt;35,N48+M49-V48,IF(A49&lt;'Données projet'!$A$36,$K$205^A49,IF(A49='Données projet'!$A$36,'Données projet'!$B$36,N48+M49-V48)))</f>
        <v>538.39999999999975</v>
      </c>
      <c r="O49" s="13">
        <f>N49*VLOOKUP('Données projet'!$B$9,Paramètres!$A$1:$I$89,3,0)*VLOOKUP('Données projet'!$B$9,Paramètres!$A$1:$I$89,5,0)</f>
        <v>300.96559999999988</v>
      </c>
      <c r="P49" s="13">
        <f t="shared" si="33"/>
        <v>71.378852450242732</v>
      </c>
      <c r="Q49" s="20">
        <f t="shared" si="53"/>
        <v>648.49992135083914</v>
      </c>
      <c r="R49" s="59">
        <f t="shared" si="0"/>
        <v>941.83325468417252</v>
      </c>
      <c r="S49" s="59">
        <f ca="1">AVERAGE(OFFSET($R$3,0,0,'Données projet'!$E$9+1,1))-AVERAGE(OFFSET($H$3,0,0,'Données projet'!$E$9+1,1))</f>
        <v>410.71046306000068</v>
      </c>
      <c r="T49" s="59">
        <f t="shared" si="34"/>
        <v>430.43167430170087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77.182932740082251</v>
      </c>
      <c r="AA49" s="21">
        <f>EXP(-LN(2)/25)*AA48+(1-EXP(-LN(2)/25))/(LN(2)/25)*Calculateur!V49*Calculateur!X49*VLOOKUP('Données projet'!$B$9,Paramètres!$A$1:$I$89,3,0)*0.475*44/12</f>
        <v>35.703202880712453</v>
      </c>
      <c r="AB49" s="21">
        <f>EXP(-LN(2)/2)*AB48+(1-EXP(-LN(2)/2))/(LN(2)/2)*V49*Y49*VLOOKUP('Données projet'!$B$9,Paramètres!$A$1:$I$89,3,0)*0.475*44/12</f>
        <v>7.4561717200910698</v>
      </c>
      <c r="AC49" s="22">
        <f t="shared" si="3"/>
        <v>120.34230734088577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27.4</v>
      </c>
      <c r="AI49" s="13">
        <f>IF('Données projet'!$A$62&gt;35,AI48+AH49-AQ48,IF(A49&lt;'Données projet'!$A$62,$AF$205^A49,IF(A49='Données projet'!$A$62,'Données projet'!$B$62,AI48+AH49-AQ48)))</f>
        <v>609.4</v>
      </c>
      <c r="AJ49" s="13">
        <f>AI49*VLOOKUP('Données projet'!$B$10,Paramètres!$A$1:$I$89,3,0)*VLOOKUP('Données projet'!$B$10,Paramètres!$A$1:$I$89,5,0)</f>
        <v>269.35480000000001</v>
      </c>
      <c r="AK49" s="13">
        <f t="shared" si="35"/>
        <v>64.712322503706446</v>
      </c>
      <c r="AL49" s="20">
        <f t="shared" si="4"/>
        <v>581.83357169395538</v>
      </c>
      <c r="AM49" s="59">
        <f t="shared" si="5"/>
        <v>875.16690502728875</v>
      </c>
      <c r="AN49" s="59">
        <f ca="1">AVERAGE(OFFSET($AM$3,0,0,'Données projet'!$E$10+1,1))-AVERAGE(OFFSET($H$3,0,0,'Données projet'!$E$10+1,1))</f>
        <v>343.36665824683809</v>
      </c>
      <c r="AO49" s="59">
        <f t="shared" si="36"/>
        <v>342.89042241858527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54.129896234307971</v>
      </c>
      <c r="AV49" s="21">
        <f>EXP(-LN(2)/25)*AV48+(1-EXP(-LN(2)/25))/(LN(2)/25)*Calculateur!AQ49*Calculateur!AS49*VLOOKUP('Données projet'!$B$10,Paramètres!$A$1:$I$89,3,0)*0.475*44/12</f>
        <v>29.320031994531831</v>
      </c>
      <c r="AW49" s="21">
        <f>EXP(-LN(2)/2)*AW48+(1-EXP(-LN(2)/2))/(LN(2)/2)*AQ49*AT49*VLOOKUP('Données projet'!$B$10,Paramètres!$A$1:$I$89,3,0)*0.475*44/12</f>
        <v>5.5533589504786844</v>
      </c>
      <c r="AX49" s="21">
        <f t="shared" si="6"/>
        <v>89.003287179318491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11.2</v>
      </c>
      <c r="BD49" s="12">
        <f>IF('Données projet'!$A$88&gt;35,BD48+BC49-BL48,IF(A49&lt;'Données projet'!$A$88,$BA$205^A49,IF(A49='Données projet'!$A$88,'Données projet'!$B$88,BD48+BC49-BL48)))</f>
        <v>270.2000000000001</v>
      </c>
      <c r="BE49" s="13">
        <f>BD49*VLOOKUP('Données projet'!$B$11,Paramètres!$A$1:$I$89,3,0)*VLOOKUP('Données projet'!$B$11,Paramètres!$A$1:$I$89,5,0)</f>
        <v>147.52920000000006</v>
      </c>
      <c r="BF49" s="13">
        <f t="shared" si="37"/>
        <v>38.016545834387131</v>
      </c>
      <c r="BG49" s="20">
        <f t="shared" si="7"/>
        <v>323.15884066155769</v>
      </c>
      <c r="BH49" s="59">
        <f t="shared" si="8"/>
        <v>616.492173994891</v>
      </c>
      <c r="BI49" s="59">
        <f ca="1">AVERAGE(OFFSET($BH$3,0,0,'Données projet'!$E$11+1,1))-AVERAGE(OFFSET($H$3,0,0,'Données projet'!$E$11+1,1))</f>
        <v>191.96190073146369</v>
      </c>
      <c r="BJ49" s="59">
        <f t="shared" si="38"/>
        <v>224.0560835232115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28.155690370995849</v>
      </c>
      <c r="BQ49" s="21">
        <f>EXP(-LN(2)/25)*BQ48+(1-EXP(-LN(2)/25))/(LN(2)/25)*Calculateur!BL49*Calculateur!BN49*VLOOKUP('Données projet'!$B$11,Paramètres!$A$1:$I$89,3,0)*0.475*44/12</f>
        <v>27.456971422864147</v>
      </c>
      <c r="BR49" s="21">
        <f>EXP(-LN(2)/2)*BR48+(1-EXP(-LN(2)/2))/(LN(2)/2)*BL49*BO49*VLOOKUP('Données projet'!$B$11,Paramètres!$A$1:$I$89,3,0)*0.475*44/12</f>
        <v>3.3643022517334287</v>
      </c>
      <c r="BS49" s="22">
        <f t="shared" si="9"/>
        <v>58.976964045593427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24.4</v>
      </c>
      <c r="N50" s="13">
        <f>IF('Données projet'!$A$36&gt;35,N49+M50-V49,IF(A50&lt;'Données projet'!$A$36,$K$205^A50,IF(A50='Données projet'!$A$36,'Données projet'!$B$36,N49+M50-V49)))</f>
        <v>562.79999999999973</v>
      </c>
      <c r="O50" s="13">
        <f>N50*VLOOKUP('Données projet'!$B$9,Paramètres!$A$1:$I$89,3,0)*VLOOKUP('Données projet'!$B$9,Paramètres!$A$1:$I$89,5,0)</f>
        <v>314.60519999999985</v>
      </c>
      <c r="P50" s="13">
        <f t="shared" si="33"/>
        <v>74.229752266996201</v>
      </c>
      <c r="Q50" s="20">
        <f t="shared" si="53"/>
        <v>677.22087519835145</v>
      </c>
      <c r="R50" s="59">
        <f t="shared" si="0"/>
        <v>970.55420853168471</v>
      </c>
      <c r="S50" s="59">
        <f ca="1">AVERAGE(OFFSET($R$3,0,0,'Données projet'!$E$9+1,1))-AVERAGE(OFFSET($H$3,0,0,'Données projet'!$E$9+1,1))</f>
        <v>410.71046306000068</v>
      </c>
      <c r="T50" s="59">
        <f t="shared" si="34"/>
        <v>430.43167430170087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75.669422505989743</v>
      </c>
      <c r="AA50" s="21">
        <f>EXP(-LN(2)/25)*AA49+(1-EXP(-LN(2)/25))/(LN(2)/25)*Calculateur!V50*Calculateur!X50*VLOOKUP('Données projet'!$B$9,Paramètres!$A$1:$I$89,3,0)*0.475*44/12</f>
        <v>34.726896920389535</v>
      </c>
      <c r="AB50" s="21">
        <f>EXP(-LN(2)/2)*AB49+(1-EXP(-LN(2)/2))/(LN(2)/2)*V50*Y50*VLOOKUP('Données projet'!$B$9,Paramètres!$A$1:$I$89,3,0)*0.475*44/12</f>
        <v>5.2723095849677604</v>
      </c>
      <c r="AC50" s="22">
        <f t="shared" si="3"/>
        <v>115.66862901134704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27.4</v>
      </c>
      <c r="AI50" s="13">
        <f>IF('Données projet'!$A$62&gt;35,AI49+AH50-AQ49,IF(A50&lt;'Données projet'!$A$62,$AF$205^A50,IF(A50='Données projet'!$A$62,'Données projet'!$B$62,AI49+AH50-AQ49)))</f>
        <v>636.79999999999995</v>
      </c>
      <c r="AJ50" s="13">
        <f>AI50*VLOOKUP('Données projet'!$B$10,Paramètres!$A$1:$I$89,3,0)*VLOOKUP('Données projet'!$B$10,Paramètres!$A$1:$I$89,5,0)</f>
        <v>281.46559999999999</v>
      </c>
      <c r="AK50" s="13">
        <f t="shared" si="35"/>
        <v>67.276638122675294</v>
      </c>
      <c r="AL50" s="20">
        <f t="shared" si="4"/>
        <v>607.39273139699276</v>
      </c>
      <c r="AM50" s="59">
        <f t="shared" si="5"/>
        <v>900.72606473032602</v>
      </c>
      <c r="AN50" s="59">
        <f ca="1">AVERAGE(OFFSET($AM$3,0,0,'Données projet'!$E$10+1,1))-AVERAGE(OFFSET($H$3,0,0,'Données projet'!$E$10+1,1))</f>
        <v>343.36665824683809</v>
      </c>
      <c r="AO50" s="59">
        <f t="shared" si="36"/>
        <v>342.89042241858527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53.068441985129837</v>
      </c>
      <c r="AV50" s="21">
        <f>EXP(-LN(2)/25)*AV49+(1-EXP(-LN(2)/25))/(LN(2)/25)*Calculateur!AQ50*Calculateur!AS50*VLOOKUP('Données projet'!$B$10,Paramètres!$A$1:$I$89,3,0)*0.475*44/12</f>
        <v>28.518274177767889</v>
      </c>
      <c r="AW50" s="21">
        <f>EXP(-LN(2)/2)*AW49+(1-EXP(-LN(2)/2))/(LN(2)/2)*AQ50*AT50*VLOOKUP('Données projet'!$B$10,Paramètres!$A$1:$I$89,3,0)*0.475*44/12</f>
        <v>3.9268177722464865</v>
      </c>
      <c r="AX50" s="21">
        <f t="shared" si="6"/>
        <v>85.51353393514421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11.2</v>
      </c>
      <c r="BD50" s="12">
        <f>IF('Données projet'!$A$88&gt;35,BD49+BC50-BL49,IF(A50&lt;'Données projet'!$A$88,$BA$205^A50,IF(A50='Données projet'!$A$88,'Données projet'!$B$88,BD49+BC50-BL49)))</f>
        <v>281.40000000000009</v>
      </c>
      <c r="BE50" s="13">
        <f>BD50*VLOOKUP('Données projet'!$B$11,Paramètres!$A$1:$I$89,3,0)*VLOOKUP('Données projet'!$B$11,Paramètres!$A$1:$I$89,5,0)</f>
        <v>153.64440000000005</v>
      </c>
      <c r="BF50" s="13">
        <f t="shared" si="37"/>
        <v>39.405627951004689</v>
      </c>
      <c r="BG50" s="20">
        <f t="shared" si="7"/>
        <v>336.22879868133322</v>
      </c>
      <c r="BH50" s="59">
        <f t="shared" si="8"/>
        <v>629.56213201466653</v>
      </c>
      <c r="BI50" s="59">
        <f ca="1">AVERAGE(OFFSET($BH$3,0,0,'Données projet'!$E$11+1,1))-AVERAGE(OFFSET($H$3,0,0,'Données projet'!$E$11+1,1))</f>
        <v>191.96190073146369</v>
      </c>
      <c r="BJ50" s="59">
        <f t="shared" si="38"/>
        <v>224.0560835232115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27.603574456096027</v>
      </c>
      <c r="BQ50" s="21">
        <f>EXP(-LN(2)/25)*BQ49+(1-EXP(-LN(2)/25))/(LN(2)/25)*Calculateur!BL50*Calculateur!BN50*VLOOKUP('Données projet'!$B$11,Paramètres!$A$1:$I$89,3,0)*0.475*44/12</f>
        <v>26.706159095406552</v>
      </c>
      <c r="BR50" s="21">
        <f>EXP(-LN(2)/2)*BR49+(1-EXP(-LN(2)/2))/(LN(2)/2)*BL50*BO50*VLOOKUP('Données projet'!$B$11,Paramètres!$A$1:$I$89,3,0)*0.475*44/12</f>
        <v>2.3789209361618791</v>
      </c>
      <c r="BS50" s="22">
        <f t="shared" si="9"/>
        <v>56.688654487664451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24.4</v>
      </c>
      <c r="N51" s="13">
        <f>IF('Données projet'!$A$36&gt;35,N50+M51-V50,IF(A51&lt;'Données projet'!$A$36,$K$205^A51,IF(A51='Données projet'!$A$36,'Données projet'!$B$36,N50+M51-V50)))</f>
        <v>587.1999999999997</v>
      </c>
      <c r="O51" s="13">
        <f>N51*VLOOKUP('Données projet'!$B$9,Paramètres!$A$1:$I$89,3,0)*VLOOKUP('Données projet'!$B$9,Paramètres!$A$1:$I$89,5,0)</f>
        <v>328.24479999999983</v>
      </c>
      <c r="P51" s="13">
        <f t="shared" si="33"/>
        <v>77.066296561336628</v>
      </c>
      <c r="Q51" s="20">
        <f t="shared" si="53"/>
        <v>705.91682651099427</v>
      </c>
      <c r="R51" s="59">
        <f t="shared" si="0"/>
        <v>999.25015984432753</v>
      </c>
      <c r="S51" s="59">
        <f ca="1">AVERAGE(OFFSET($R$3,0,0,'Données projet'!$E$9+1,1))-AVERAGE(OFFSET($H$3,0,0,'Données projet'!$E$9+1,1))</f>
        <v>410.71046306000068</v>
      </c>
      <c r="T51" s="59">
        <f t="shared" si="34"/>
        <v>430.43167430170087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74.185591284437706</v>
      </c>
      <c r="AA51" s="21">
        <f>EXP(-LN(2)/25)*AA50+(1-EXP(-LN(2)/25))/(LN(2)/25)*Calculateur!V51*Calculateur!X51*VLOOKUP('Données projet'!$B$9,Paramètres!$A$1:$I$89,3,0)*0.475*44/12</f>
        <v>33.777288097893347</v>
      </c>
      <c r="AB51" s="21">
        <f>EXP(-LN(2)/2)*AB50+(1-EXP(-LN(2)/2))/(LN(2)/2)*V51*Y51*VLOOKUP('Données projet'!$B$9,Paramètres!$A$1:$I$89,3,0)*0.475*44/12</f>
        <v>3.7280858600455358</v>
      </c>
      <c r="AC51" s="22">
        <f t="shared" si="3"/>
        <v>111.69096524237659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27.4</v>
      </c>
      <c r="AI51" s="13">
        <f>IF('Données projet'!$A$62&gt;35,AI50+AH51-AQ50,IF(A51&lt;'Données projet'!$A$62,$AF$205^A51,IF(A51='Données projet'!$A$62,'Données projet'!$B$62,AI50+AH51-AQ50)))</f>
        <v>664.19999999999993</v>
      </c>
      <c r="AJ51" s="13">
        <f>AI51*VLOOKUP('Données projet'!$B$10,Paramètres!$A$1:$I$89,3,0)*VLOOKUP('Données projet'!$B$10,Paramètres!$A$1:$I$89,5,0)</f>
        <v>293.57640000000004</v>
      </c>
      <c r="AK51" s="13">
        <f t="shared" si="35"/>
        <v>69.828138511965605</v>
      </c>
      <c r="AL51" s="20">
        <f t="shared" si="4"/>
        <v>632.92957124167344</v>
      </c>
      <c r="AM51" s="59">
        <f t="shared" si="5"/>
        <v>926.26290457500681</v>
      </c>
      <c r="AN51" s="59">
        <f ca="1">AVERAGE(OFFSET($AM$3,0,0,'Données projet'!$E$10+1,1))-AVERAGE(OFFSET($H$3,0,0,'Données projet'!$E$10+1,1))</f>
        <v>343.36665824683809</v>
      </c>
      <c r="AO51" s="59">
        <f t="shared" si="36"/>
        <v>342.89042241858527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52.02780220635492</v>
      </c>
      <c r="AV51" s="21">
        <f>EXP(-LN(2)/25)*AV50+(1-EXP(-LN(2)/25))/(LN(2)/25)*Calculateur!AQ51*Calculateur!AS51*VLOOKUP('Données projet'!$B$10,Paramètres!$A$1:$I$89,3,0)*0.475*44/12</f>
        <v>27.738440470665967</v>
      </c>
      <c r="AW51" s="21">
        <f>EXP(-LN(2)/2)*AW50+(1-EXP(-LN(2)/2))/(LN(2)/2)*AQ51*AT51*VLOOKUP('Données projet'!$B$10,Paramètres!$A$1:$I$89,3,0)*0.475*44/12</f>
        <v>2.7766794752393427</v>
      </c>
      <c r="AX51" s="21">
        <f t="shared" si="6"/>
        <v>82.542922152260232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11.2</v>
      </c>
      <c r="BD51" s="12">
        <f>IF('Données projet'!$A$88&gt;35,BD50+BC51-BL50,IF(A51&lt;'Données projet'!$A$88,$BA$205^A51,IF(A51='Données projet'!$A$88,'Données projet'!$B$88,BD50+BC51-BL50)))</f>
        <v>292.60000000000008</v>
      </c>
      <c r="BE51" s="13">
        <f>BD51*VLOOKUP('Données projet'!$B$11,Paramètres!$A$1:$I$89,3,0)*VLOOKUP('Données projet'!$B$11,Paramètres!$A$1:$I$89,5,0)</f>
        <v>159.75960000000003</v>
      </c>
      <c r="BF51" s="13">
        <f t="shared" si="37"/>
        <v>40.788287771458215</v>
      </c>
      <c r="BG51" s="20">
        <f t="shared" si="7"/>
        <v>349.28757120195638</v>
      </c>
      <c r="BH51" s="59">
        <f t="shared" si="8"/>
        <v>642.6209045352897</v>
      </c>
      <c r="BI51" s="59">
        <f ca="1">AVERAGE(OFFSET($BH$3,0,0,'Données projet'!$E$11+1,1))-AVERAGE(OFFSET($H$3,0,0,'Données projet'!$E$11+1,1))</f>
        <v>191.96190073146369</v>
      </c>
      <c r="BJ51" s="59">
        <f t="shared" si="38"/>
        <v>224.0560835232115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27.062285197529935</v>
      </c>
      <c r="BQ51" s="21">
        <f>EXP(-LN(2)/25)*BQ50+(1-EXP(-LN(2)/25))/(LN(2)/25)*Calculateur!BL51*Calculateur!BN51*VLOOKUP('Données projet'!$B$11,Paramètres!$A$1:$I$89,3,0)*0.475*44/12</f>
        <v>25.97587777052679</v>
      </c>
      <c r="BR51" s="21">
        <f>EXP(-LN(2)/2)*BR50+(1-EXP(-LN(2)/2))/(LN(2)/2)*BL51*BO51*VLOOKUP('Données projet'!$B$11,Paramètres!$A$1:$I$89,3,0)*0.475*44/12</f>
        <v>1.6821511258667148</v>
      </c>
      <c r="BS51" s="22">
        <f t="shared" si="9"/>
        <v>54.720314093923442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24.4</v>
      </c>
      <c r="N52" s="13">
        <f>IF('Données projet'!$A$36&gt;35,N51+M52-V51,IF(A52&lt;'Données projet'!$A$36,$K$205^A52,IF(A52='Données projet'!$A$36,'Données projet'!$B$36,N51+M52-V51)))</f>
        <v>611.59999999999968</v>
      </c>
      <c r="O52" s="13">
        <f>N52*VLOOKUP('Données projet'!$B$9,Paramètres!$A$1:$I$89,3,0)*VLOOKUP('Données projet'!$B$9,Paramètres!$A$1:$I$89,5,0)</f>
        <v>341.88439999999986</v>
      </c>
      <c r="P52" s="13">
        <f t="shared" si="33"/>
        <v>79.889150066970018</v>
      </c>
      <c r="Q52" s="20">
        <f t="shared" si="53"/>
        <v>734.58893303330581</v>
      </c>
      <c r="R52" s="59">
        <f t="shared" si="0"/>
        <v>1027.9222663666392</v>
      </c>
      <c r="S52" s="59">
        <f ca="1">AVERAGE(OFFSET($R$3,0,0,'Données projet'!$E$9+1,1))-AVERAGE(OFFSET($H$3,0,0,'Données projet'!$E$9+1,1))</f>
        <v>410.71046306000068</v>
      </c>
      <c r="T52" s="59">
        <f t="shared" si="34"/>
        <v>430.43167430170087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72.73085708809262</v>
      </c>
      <c r="AA52" s="21">
        <f>EXP(-LN(2)/25)*AA51+(1-EXP(-LN(2)/25))/(LN(2)/25)*Calculateur!V52*Calculateur!X52*VLOOKUP('Données projet'!$B$9,Paramètres!$A$1:$I$89,3,0)*0.475*44/12</f>
        <v>32.85364637858607</v>
      </c>
      <c r="AB52" s="21">
        <f>EXP(-LN(2)/2)*AB51+(1-EXP(-LN(2)/2))/(LN(2)/2)*V52*Y52*VLOOKUP('Données projet'!$B$9,Paramètres!$A$1:$I$89,3,0)*0.475*44/12</f>
        <v>2.6361547924838806</v>
      </c>
      <c r="AC52" s="22">
        <f t="shared" si="3"/>
        <v>108.22065825916256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27.4</v>
      </c>
      <c r="AI52" s="13">
        <f>IF('Données projet'!$A$62&gt;35,AI51+AH52-AQ51,IF(A52&lt;'Données projet'!$A$62,$AF$205^A52,IF(A52='Données projet'!$A$62,'Données projet'!$B$62,AI51+AH52-AQ51)))</f>
        <v>691.59999999999991</v>
      </c>
      <c r="AJ52" s="13">
        <f>AI52*VLOOKUP('Données projet'!$B$10,Paramètres!$A$1:$I$89,3,0)*VLOOKUP('Données projet'!$B$10,Paramètres!$A$1:$I$89,5,0)</f>
        <v>305.68719999999996</v>
      </c>
      <c r="AK52" s="13">
        <f t="shared" si="35"/>
        <v>72.367412795802267</v>
      </c>
      <c r="AL52" s="20">
        <f t="shared" si="4"/>
        <v>658.44511728602208</v>
      </c>
      <c r="AM52" s="59">
        <f t="shared" si="5"/>
        <v>951.77845061935545</v>
      </c>
      <c r="AN52" s="59">
        <f ca="1">AVERAGE(OFFSET($AM$3,0,0,'Données projet'!$E$10+1,1))-AVERAGE(OFFSET($H$3,0,0,'Données projet'!$E$10+1,1))</f>
        <v>343.36665824683809</v>
      </c>
      <c r="AO52" s="59">
        <f t="shared" si="36"/>
        <v>342.89042241858527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51.007568738914188</v>
      </c>
      <c r="AV52" s="21">
        <f>EXP(-LN(2)/25)*AV51+(1-EXP(-LN(2)/25))/(LN(2)/25)*Calculateur!AQ52*Calculateur!AS52*VLOOKUP('Données projet'!$B$10,Paramètres!$A$1:$I$89,3,0)*0.475*44/12</f>
        <v>26.979931357294419</v>
      </c>
      <c r="AW52" s="21">
        <f>EXP(-LN(2)/2)*AW51+(1-EXP(-LN(2)/2))/(LN(2)/2)*AQ52*AT52*VLOOKUP('Données projet'!$B$10,Paramètres!$A$1:$I$89,3,0)*0.475*44/12</f>
        <v>1.9634088861232437</v>
      </c>
      <c r="AX52" s="21">
        <f t="shared" si="6"/>
        <v>79.950908982331853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11.2</v>
      </c>
      <c r="BD52" s="12">
        <f>IF('Données projet'!$A$88&gt;35,BD51+BC52-BL51,IF(A52&lt;'Données projet'!$A$88,$BA$205^A52,IF(A52='Données projet'!$A$88,'Données projet'!$B$88,BD51+BC52-BL51)))</f>
        <v>303.80000000000007</v>
      </c>
      <c r="BE52" s="13">
        <f>BD52*VLOOKUP('Données projet'!$B$11,Paramètres!$A$1:$I$89,3,0)*VLOOKUP('Données projet'!$B$11,Paramètres!$A$1:$I$89,5,0)</f>
        <v>165.87480000000002</v>
      </c>
      <c r="BF52" s="13">
        <f t="shared" si="37"/>
        <v>42.164799265555217</v>
      </c>
      <c r="BG52" s="20">
        <f t="shared" si="7"/>
        <v>362.33563538750872</v>
      </c>
      <c r="BH52" s="59">
        <f t="shared" si="8"/>
        <v>655.66896872084203</v>
      </c>
      <c r="BI52" s="59">
        <f ca="1">AVERAGE(OFFSET($BH$3,0,0,'Données projet'!$E$11+1,1))-AVERAGE(OFFSET($H$3,0,0,'Données projet'!$E$11+1,1))</f>
        <v>191.96190073146369</v>
      </c>
      <c r="BJ52" s="59">
        <f t="shared" si="38"/>
        <v>224.0560835232115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26.531610291170477</v>
      </c>
      <c r="BQ52" s="21">
        <f>EXP(-LN(2)/25)*BQ51+(1-EXP(-LN(2)/25))/(LN(2)/25)*Calculateur!BL52*Calculateur!BN52*VLOOKUP('Données projet'!$B$11,Paramètres!$A$1:$I$89,3,0)*0.475*44/12</f>
        <v>25.265566026879693</v>
      </c>
      <c r="BR52" s="21">
        <f>EXP(-LN(2)/2)*BR51+(1-EXP(-LN(2)/2))/(LN(2)/2)*BL52*BO52*VLOOKUP('Données projet'!$B$11,Paramètres!$A$1:$I$89,3,0)*0.475*44/12</f>
        <v>1.1894604680809397</v>
      </c>
      <c r="BS52" s="22">
        <f t="shared" si="9"/>
        <v>52.986636786131108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636</v>
      </c>
      <c r="L53" s="12">
        <f>VLOOKUP(A53,'Données projet'!$A$35:$I$55,9,0)</f>
        <v>24.4</v>
      </c>
      <c r="M53" s="12">
        <f t="array" ref="M53">INDEX(L:L,MIN(IF(ISNUMBER(L53:L249),ROW(L53:L249),"")))</f>
        <v>24.4</v>
      </c>
      <c r="N53" s="13">
        <f>IF('Données projet'!$A$36&gt;35,N52+M53-V52,IF(A53&lt;'Données projet'!$A$36,$K$205^A53,IF(A53='Données projet'!$A$36,'Données projet'!$B$36,N52+M53-V52)))</f>
        <v>635.99999999999966</v>
      </c>
      <c r="O53" s="13">
        <f>N53*VLOOKUP('Données projet'!$B$9,Paramètres!$A$1:$I$89,3,0)*VLOOKUP('Données projet'!$B$9,Paramètres!$A$1:$I$89,5,0)</f>
        <v>355.52399999999983</v>
      </c>
      <c r="P53" s="13">
        <f t="shared" si="33"/>
        <v>82.698921475720084</v>
      </c>
      <c r="Q53" s="20">
        <f t="shared" si="53"/>
        <v>763.23825490354545</v>
      </c>
      <c r="R53" s="59">
        <f t="shared" si="0"/>
        <v>1056.5715882368788</v>
      </c>
      <c r="S53" s="59">
        <f ca="1">AVERAGE(OFFSET($R$3,0,0,'Données projet'!$E$9+1,1))-AVERAGE(OFFSET($H$3,0,0,'Données projet'!$E$9+1,1))</f>
        <v>410.71046306000068</v>
      </c>
      <c r="T53" s="59">
        <f t="shared" si="34"/>
        <v>430.43167430170087</v>
      </c>
      <c r="U53" s="15">
        <f>IF(ISNA(VLOOKUP(A53,'Données projet'!$A$35:$I$55,3,0)),0,VLOOKUP(A53,'Données projet'!$A$35:$I$55,3,0))</f>
        <v>9</v>
      </c>
      <c r="V53" s="15">
        <f>IF(ISNA(VLOOKUP(A53,'Données projet'!$A$35:$I$55,4,0)),0,VLOOKUP(A53,'Données projet'!$A$35:$I$55,4,0))</f>
        <v>62</v>
      </c>
      <c r="W53" s="16">
        <f>IF(ISNA(VLOOKUP(A53,'Données projet'!$A$35:$I$55,5,0)),0%,VLOOKUP(A53,'Données projet'!$A$35:$I$55,5,0)*VLOOKUP('Données projet'!$B$9,Paramètres!$A$1:$I$89,7,0))</f>
        <v>0.33</v>
      </c>
      <c r="X53" s="16">
        <f>IF(ISNA(VLOOKUP(A53,'Données projet'!$A$35:$I$55,6,0)),0%,VLOOKUP(A53,'Données projet'!$A$35:$I$55,6,0)*VLOOKUP('Données projet'!$B$9,Paramètres!$A$1:$I$89,7,0))</f>
        <v>0.12100000000000001</v>
      </c>
      <c r="Y53" s="16">
        <f>IF(ISNA(VLOOKUP(A53,'Données projet'!$A$35:$I$55,7,0)),0%,VLOOKUP(A53,'Données projet'!$A$35:$I$55,7,0))</f>
        <v>0.18</v>
      </c>
      <c r="Z53" s="21">
        <f>EXP(-LN(2)/35)*Z52+(1-EXP(-LN(2)/35))/(LN(2)/35)*V53*W53*VLOOKUP('Données projet'!$B$9,Paramètres!$A$1:$I$89,3,0)*0.475*44/12</f>
        <v>86.476752737923405</v>
      </c>
      <c r="AA53" s="21">
        <f>EXP(-LN(2)/25)*AA52+(1-EXP(-LN(2)/25))/(LN(2)/25)*Calculateur!V53*Calculateur!X53*VLOOKUP('Données projet'!$B$9,Paramètres!$A$1:$I$89,3,0)*0.475*44/12</f>
        <v>37.496462206722363</v>
      </c>
      <c r="AB53" s="21">
        <f>EXP(-LN(2)/2)*AB52+(1-EXP(-LN(2)/2))/(LN(2)/2)*V53*Y53*VLOOKUP('Données projet'!$B$9,Paramètres!$A$1:$I$89,3,0)*0.475*44/12</f>
        <v>8.9274061842037735</v>
      </c>
      <c r="AC53" s="22">
        <f t="shared" si="3"/>
        <v>132.90062112884954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719</v>
      </c>
      <c r="AG53" s="12">
        <f>VLOOKUP(A53,'Données projet'!$A$61:$I$81,9,0)</f>
        <v>27.4</v>
      </c>
      <c r="AH53" s="12">
        <f t="array" ref="AH53">INDEX(AG:AG,MIN(IF(ISNUMBER(AG53:AG249),ROW(AG53:AG249),"")))</f>
        <v>27.4</v>
      </c>
      <c r="AI53" s="13">
        <f>IF('Données projet'!$A$62&gt;35,AI52+AH53-AQ52,IF(A53&lt;'Données projet'!$A$62,$AF$205^A53,IF(A53='Données projet'!$A$62,'Données projet'!$B$62,AI52+AH53-AQ52)))</f>
        <v>718.99999999999989</v>
      </c>
      <c r="AJ53" s="13">
        <f>AI53*VLOOKUP('Données projet'!$B$10,Paramètres!$A$1:$I$89,3,0)*VLOOKUP('Données projet'!$B$10,Paramètres!$A$1:$I$89,5,0)</f>
        <v>317.798</v>
      </c>
      <c r="AK53" s="13">
        <f t="shared" si="35"/>
        <v>74.895000775677957</v>
      </c>
      <c r="AL53" s="20">
        <f t="shared" si="4"/>
        <v>683.9403096843057</v>
      </c>
      <c r="AM53" s="59">
        <f t="shared" si="5"/>
        <v>977.27364301763896</v>
      </c>
      <c r="AN53" s="59">
        <f ca="1">AVERAGE(OFFSET($AM$3,0,0,'Données projet'!$E$10+1,1))-AVERAGE(OFFSET($H$3,0,0,'Données projet'!$E$10+1,1))</f>
        <v>343.36665824683809</v>
      </c>
      <c r="AO53" s="59">
        <f t="shared" si="36"/>
        <v>342.89042241858527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59</v>
      </c>
      <c r="AR53" s="16">
        <f>IF(ISNA(VLOOKUP(A53,'Données projet'!$A$61:$I$81,5,0)),0%,VLOOKUP(A53,'Données projet'!$A$61:$I$81,5,0)*VLOOKUP('Données projet'!$B$10,Paramètres!$A$1:$I$89,7,0))</f>
        <v>0.33</v>
      </c>
      <c r="AS53" s="16">
        <f>IF(ISNA(VLOOKUP(A53,'Données projet'!$A$61:$I$81,6,0)),0%,VLOOKUP(A53,'Données projet'!$A$61:$I$81,6,0)*VLOOKUP('Données projet'!$B$10,Paramètres!$A$1:$I$89,7,0))</f>
        <v>0.12100000000000001</v>
      </c>
      <c r="AT53" s="16">
        <f>IF(ISNA(VLOOKUP(A53,'Données projet'!$A$61:$I$81,7,0)),0%,VLOOKUP(A53,'Données projet'!$A$61:$I$81,7,0))</f>
        <v>0.18</v>
      </c>
      <c r="AU53" s="21">
        <f>EXP(-LN(2)/35)*AU52+(1-EXP(-LN(2)/35))/(LN(2)/35)*AQ53*AR53*VLOOKUP('Données projet'!$B$10,Paramètres!$A$1:$I$89,3,0)*0.475*44/12</f>
        <v>61.42341022424327</v>
      </c>
      <c r="AV53" s="21">
        <f>EXP(-LN(2)/25)*AV52+(1-EXP(-LN(2)/25))/(LN(2)/25)*Calculateur!AQ53*Calculateur!AS53*VLOOKUP('Données projet'!$B$10,Paramètres!$A$1:$I$89,3,0)*0.475*44/12</f>
        <v>30.411574156330289</v>
      </c>
      <c r="AW53" s="21">
        <f>EXP(-LN(2)/2)*AW52+(1-EXP(-LN(2)/2))/(LN(2)/2)*AQ53*AT53*VLOOKUP('Données projet'!$B$10,Paramètres!$A$1:$I$89,3,0)*0.475*44/12</f>
        <v>6.7030834315008043</v>
      </c>
      <c r="AX53" s="21">
        <f t="shared" si="6"/>
        <v>98.53806781207436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315</v>
      </c>
      <c r="BB53" s="12">
        <f>VLOOKUP(A53,'Données projet'!$A$87:$I$107,9,0)</f>
        <v>11.2</v>
      </c>
      <c r="BC53" s="12">
        <f t="array" ref="BC53">INDEX(BB:BB,MIN(IF(ISNUMBER(BB53:BB249),ROW(BB53:BB249),"")))</f>
        <v>11.2</v>
      </c>
      <c r="BD53" s="12">
        <f>IF('Données projet'!$A$88&gt;35,BD52+BC53-BL52,IF(A53&lt;'Données projet'!$A$88,$BA$205^A53,IF(A53='Données projet'!$A$88,'Données projet'!$B$88,BD52+BC53-BL52)))</f>
        <v>315.00000000000006</v>
      </c>
      <c r="BE53" s="13">
        <f>BD53*VLOOKUP('Données projet'!$B$11,Paramètres!$A$1:$I$89,3,0)*VLOOKUP('Données projet'!$B$11,Paramètres!$A$1:$I$89,5,0)</f>
        <v>171.99</v>
      </c>
      <c r="BF53" s="13">
        <f t="shared" si="37"/>
        <v>43.53541505793509</v>
      </c>
      <c r="BG53" s="20">
        <f t="shared" si="7"/>
        <v>375.37343122590363</v>
      </c>
      <c r="BH53" s="59">
        <f t="shared" si="8"/>
        <v>668.70676455923694</v>
      </c>
      <c r="BI53" s="59">
        <f ca="1">AVERAGE(OFFSET($BH$3,0,0,'Données projet'!$E$11+1,1))-AVERAGE(OFFSET($H$3,0,0,'Données projet'!$E$11+1,1))</f>
        <v>191.96190073146369</v>
      </c>
      <c r="BJ53" s="59">
        <f t="shared" si="38"/>
        <v>224.0560835232115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31</v>
      </c>
      <c r="BM53" s="16">
        <f>IF(ISNA(VLOOKUP(A53,'Données projet'!$A$87:$I$107,5,0)),0%,VLOOKUP(A53,'Données projet'!$A$87:$I$107,5,0)*VLOOKUP('Données projet'!$B$11,Paramètres!$A$1:$I$89,7,0))</f>
        <v>0.36</v>
      </c>
      <c r="BN53" s="16">
        <f>IF(ISNA(VLOOKUP(A53,'Données projet'!$A$87:$I$107,6,0)),0%,VLOOKUP(A53,'Données projet'!$A$87:$I$107,6,0)*VLOOKUP('Données projet'!$B$11,Paramètres!$A$1:$I$89,7,0))</f>
        <v>0.13200000000000001</v>
      </c>
      <c r="BO53" s="16">
        <f>IF(ISNA(VLOOKUP(A53,'Données projet'!$A$87:$I$107,7,0)),0%,VLOOKUP(A53,'Données projet'!$A$87:$I$107,7,0))</f>
        <v>0.18</v>
      </c>
      <c r="BP53" s="21">
        <f>EXP(-LN(2)/35)*BP52+(1-EXP(-LN(2)/35))/(LN(2)/35)*BL53*BM53*VLOOKUP('Données projet'!$B$11,Paramètres!$A$1:$I$89,3,0)*0.475*44/12</f>
        <v>34.094576386242068</v>
      </c>
      <c r="BQ53" s="21">
        <f>EXP(-LN(2)/25)*BQ52+(1-EXP(-LN(2)/25))/(LN(2)/25)*Calculateur!BL53*Calculateur!BN53*VLOOKUP('Données projet'!$B$11,Paramètres!$A$1:$I$89,3,0)*0.475*44/12</f>
        <v>27.526860734003485</v>
      </c>
      <c r="BR53" s="21">
        <f>EXP(-LN(2)/2)*BR52+(1-EXP(-LN(2)/2))/(LN(2)/2)*BL53*BO53*VLOOKUP('Données projet'!$B$11,Paramètres!$A$1:$I$89,3,0)*0.475*44/12</f>
        <v>4.2906250591612904</v>
      </c>
      <c r="BS53" s="22">
        <f t="shared" si="9"/>
        <v>65.912062179406846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22.4</v>
      </c>
      <c r="N54" s="13">
        <f>IF('Données projet'!$A$36&gt;35,N53+M54-V53,IF(A54&lt;'Données projet'!$A$36,$K$205^A54,IF(A54='Données projet'!$A$36,'Données projet'!$B$36,N53+M54-V53)))</f>
        <v>596.39999999999964</v>
      </c>
      <c r="O54" s="13">
        <f>N54*VLOOKUP('Données projet'!$B$9,Paramètres!$A$1:$I$89,3,0)*VLOOKUP('Données projet'!$B$9,Paramètres!$A$1:$I$89,5,0)</f>
        <v>333.38759999999979</v>
      </c>
      <c r="P54" s="13">
        <f t="shared" si="33"/>
        <v>78.132225065068099</v>
      </c>
      <c r="Q54" s="20">
        <f t="shared" si="53"/>
        <v>716.73036198832654</v>
      </c>
      <c r="R54" s="59">
        <f t="shared" si="0"/>
        <v>1010.0636953216599</v>
      </c>
      <c r="S54" s="59">
        <f ca="1">AVERAGE(OFFSET($R$3,0,0,'Données projet'!$E$9+1,1))-AVERAGE(OFFSET($H$3,0,0,'Données projet'!$E$9+1,1))</f>
        <v>410.71046306000068</v>
      </c>
      <c r="T54" s="59">
        <f t="shared" si="34"/>
        <v>430.43167430170087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84.7809963623437</v>
      </c>
      <c r="AA54" s="21">
        <f>EXP(-LN(2)/25)*AA53+(1-EXP(-LN(2)/25))/(LN(2)/25)*Calculateur!V54*Calculateur!X54*VLOOKUP('Données projet'!$B$9,Paramètres!$A$1:$I$89,3,0)*0.475*44/12</f>
        <v>36.471119475826292</v>
      </c>
      <c r="AB54" s="21">
        <f>EXP(-LN(2)/2)*AB53+(1-EXP(-LN(2)/2))/(LN(2)/2)*V54*Y54*VLOOKUP('Données projet'!$B$9,Paramètres!$A$1:$I$89,3,0)*0.475*44/12</f>
        <v>6.3126294512572096</v>
      </c>
      <c r="AC54" s="22">
        <f t="shared" si="3"/>
        <v>127.56474528942721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24.2</v>
      </c>
      <c r="AI54" s="13">
        <f>IF('Données projet'!$A$62&gt;35,AI53+AH54-AQ53,IF(A54&lt;'Données projet'!$A$62,$AF$205^A54,IF(A54='Données projet'!$A$62,'Données projet'!$B$62,AI53+AH54-AQ53)))</f>
        <v>684.19999999999993</v>
      </c>
      <c r="AJ54" s="13">
        <f>AI54*VLOOKUP('Données projet'!$B$10,Paramètres!$A$1:$I$89,3,0)*VLOOKUP('Données projet'!$B$10,Paramètres!$A$1:$I$89,5,0)</f>
        <v>302.41640000000001</v>
      </c>
      <c r="AK54" s="13">
        <f t="shared" si="35"/>
        <v>71.682796968600584</v>
      </c>
      <c r="AL54" s="20">
        <f t="shared" si="4"/>
        <v>651.55610138697932</v>
      </c>
      <c r="AM54" s="59">
        <f t="shared" si="5"/>
        <v>944.88943472031269</v>
      </c>
      <c r="AN54" s="59">
        <f ca="1">AVERAGE(OFFSET($AM$3,0,0,'Données projet'!$E$10+1,1))-AVERAGE(OFFSET($H$3,0,0,'Données projet'!$E$10+1,1))</f>
        <v>343.36665824683809</v>
      </c>
      <c r="AO54" s="59">
        <f t="shared" si="36"/>
        <v>342.89042241858527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60.218934614326777</v>
      </c>
      <c r="AV54" s="21">
        <f>EXP(-LN(2)/25)*AV53+(1-EXP(-LN(2)/25))/(LN(2)/25)*Calculateur!AQ54*Calculateur!AS54*VLOOKUP('Données projet'!$B$10,Paramètres!$A$1:$I$89,3,0)*0.475*44/12</f>
        <v>29.579968061750257</v>
      </c>
      <c r="AW54" s="21">
        <f>EXP(-LN(2)/2)*AW53+(1-EXP(-LN(2)/2))/(LN(2)/2)*AQ54*AT54*VLOOKUP('Données projet'!$B$10,Paramètres!$A$1:$I$89,3,0)*0.475*44/12</f>
        <v>4.7397957492734113</v>
      </c>
      <c r="AX54" s="21">
        <f t="shared" si="6"/>
        <v>94.538698425350447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10.199999999999999</v>
      </c>
      <c r="BD54" s="12">
        <f>IF('Données projet'!$A$88&gt;35,BD53+BC54-BL53,IF(A54&lt;'Données projet'!$A$88,$BA$205^A54,IF(A54='Données projet'!$A$88,'Données projet'!$B$88,BD53+BC54-BL53)))</f>
        <v>294.20000000000005</v>
      </c>
      <c r="BE54" s="13">
        <f>BD54*VLOOKUP('Données projet'!$B$11,Paramètres!$A$1:$I$89,3,0)*VLOOKUP('Données projet'!$B$11,Paramètres!$A$1:$I$89,5,0)</f>
        <v>160.63320000000004</v>
      </c>
      <c r="BF54" s="13">
        <f t="shared" si="37"/>
        <v>40.985302587275342</v>
      </c>
      <c r="BG54" s="20">
        <f t="shared" si="7"/>
        <v>351.15222533950458</v>
      </c>
      <c r="BH54" s="59">
        <f t="shared" si="8"/>
        <v>644.4855586728379</v>
      </c>
      <c r="BI54" s="59">
        <f ca="1">AVERAGE(OFFSET($BH$3,0,0,'Données projet'!$E$11+1,1))-AVERAGE(OFFSET($H$3,0,0,'Données projet'!$E$11+1,1))</f>
        <v>191.96190073146369</v>
      </c>
      <c r="BJ54" s="59">
        <f t="shared" si="38"/>
        <v>224.0560835232115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33.426002538946058</v>
      </c>
      <c r="BQ54" s="21">
        <f>EXP(-LN(2)/25)*BQ53+(1-EXP(-LN(2)/25))/(LN(2)/25)*Calculateur!BL54*Calculateur!BN54*VLOOKUP('Données projet'!$B$11,Paramètres!$A$1:$I$89,3,0)*0.475*44/12</f>
        <v>26.774137279657467</v>
      </c>
      <c r="BR54" s="21">
        <f>EXP(-LN(2)/2)*BR53+(1-EXP(-LN(2)/2))/(LN(2)/2)*BL54*BO54*VLOOKUP('Données projet'!$B$11,Paramètres!$A$1:$I$89,3,0)*0.475*44/12</f>
        <v>3.0339300748618805</v>
      </c>
      <c r="BS54" s="22">
        <f t="shared" si="9"/>
        <v>63.234069893465403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22.4</v>
      </c>
      <c r="N55" s="13">
        <f>IF('Données projet'!$A$36&gt;35,N54+M55-V54,IF(A55&lt;'Données projet'!$A$36,$K$205^A55,IF(A55='Données projet'!$A$36,'Données projet'!$B$36,N54+M55-V54)))</f>
        <v>618.79999999999961</v>
      </c>
      <c r="O55" s="13">
        <f>N55*VLOOKUP('Données projet'!$B$9,Paramètres!$A$1:$I$89,3,0)*VLOOKUP('Données projet'!$B$9,Paramètres!$A$1:$I$89,5,0)</f>
        <v>345.90919999999977</v>
      </c>
      <c r="P55" s="13">
        <f t="shared" si="33"/>
        <v>80.719597531747937</v>
      </c>
      <c r="Q55" s="20">
        <f t="shared" si="53"/>
        <v>743.0451557011271</v>
      </c>
      <c r="R55" s="59">
        <f t="shared" si="0"/>
        <v>1036.3784890344605</v>
      </c>
      <c r="S55" s="59">
        <f ca="1">AVERAGE(OFFSET($R$3,0,0,'Données projet'!$E$9+1,1))-AVERAGE(OFFSET($H$3,0,0,'Données projet'!$E$9+1,1))</f>
        <v>410.71046306000068</v>
      </c>
      <c r="T55" s="59">
        <f t="shared" si="34"/>
        <v>430.43167430170087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83.118492734979853</v>
      </c>
      <c r="AA55" s="21">
        <f>EXP(-LN(2)/25)*AA54+(1-EXP(-LN(2)/25))/(LN(2)/25)*Calculateur!V55*Calculateur!X55*VLOOKUP('Données projet'!$B$9,Paramètres!$A$1:$I$89,3,0)*0.475*44/12</f>
        <v>35.473814795827003</v>
      </c>
      <c r="AB55" s="21">
        <f>EXP(-LN(2)/2)*AB54+(1-EXP(-LN(2)/2))/(LN(2)/2)*V55*Y55*VLOOKUP('Données projet'!$B$9,Paramètres!$A$1:$I$89,3,0)*0.475*44/12</f>
        <v>4.4637030921018876</v>
      </c>
      <c r="AC55" s="22">
        <f t="shared" si="3"/>
        <v>123.05601062290876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24.2</v>
      </c>
      <c r="AI55" s="13">
        <f>IF('Données projet'!$A$62&gt;35,AI54+AH55-AQ54,IF(A55&lt;'Données projet'!$A$62,$AF$205^A55,IF(A55='Données projet'!$A$62,'Données projet'!$B$62,AI54+AH55-AQ54)))</f>
        <v>708.4</v>
      </c>
      <c r="AJ55" s="13">
        <f>AI55*VLOOKUP('Données projet'!$B$10,Paramètres!$A$1:$I$89,3,0)*VLOOKUP('Données projet'!$B$10,Paramètres!$A$1:$I$89,5,0)</f>
        <v>313.11280000000005</v>
      </c>
      <c r="AK55" s="13">
        <f t="shared" si="35"/>
        <v>73.918528209995586</v>
      </c>
      <c r="AL55" s="20">
        <f t="shared" si="4"/>
        <v>674.07956329907574</v>
      </c>
      <c r="AM55" s="59">
        <f t="shared" si="5"/>
        <v>967.412896632409</v>
      </c>
      <c r="AN55" s="59">
        <f ca="1">AVERAGE(OFFSET($AM$3,0,0,'Données projet'!$E$10+1,1))-AVERAGE(OFFSET($H$3,0,0,'Données projet'!$E$10+1,1))</f>
        <v>343.36665824683809</v>
      </c>
      <c r="AO55" s="59">
        <f t="shared" si="36"/>
        <v>342.89042241858527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59.038078036463162</v>
      </c>
      <c r="AV55" s="21">
        <f>EXP(-LN(2)/25)*AV54+(1-EXP(-LN(2)/25))/(LN(2)/25)*Calculateur!AQ55*Calculateur!AS55*VLOOKUP('Données projet'!$B$10,Paramètres!$A$1:$I$89,3,0)*0.475*44/12</f>
        <v>28.771102279558782</v>
      </c>
      <c r="AW55" s="21">
        <f>EXP(-LN(2)/2)*AW54+(1-EXP(-LN(2)/2))/(LN(2)/2)*AQ55*AT55*VLOOKUP('Données projet'!$B$10,Paramètres!$A$1:$I$89,3,0)*0.475*44/12</f>
        <v>3.3515417157504022</v>
      </c>
      <c r="AX55" s="21">
        <f t="shared" si="6"/>
        <v>91.160722031772352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10.199999999999999</v>
      </c>
      <c r="BD55" s="12">
        <f>IF('Données projet'!$A$88&gt;35,BD54+BC55-BL54,IF(A55&lt;'Données projet'!$A$88,$BA$205^A55,IF(A55='Données projet'!$A$88,'Données projet'!$B$88,BD54+BC55-BL54)))</f>
        <v>304.40000000000003</v>
      </c>
      <c r="BE55" s="13">
        <f>BD55*VLOOKUP('Données projet'!$B$11,Paramètres!$A$1:$I$89,3,0)*VLOOKUP('Données projet'!$B$11,Paramètres!$A$1:$I$89,5,0)</f>
        <v>166.20240000000001</v>
      </c>
      <c r="BF55" s="13">
        <f t="shared" si="37"/>
        <v>42.238372413664599</v>
      </c>
      <c r="BG55" s="20">
        <f t="shared" si="7"/>
        <v>363.03434528713251</v>
      </c>
      <c r="BH55" s="59">
        <f t="shared" si="8"/>
        <v>656.36767862046577</v>
      </c>
      <c r="BI55" s="59">
        <f ca="1">AVERAGE(OFFSET($BH$3,0,0,'Données projet'!$E$11+1,1))-AVERAGE(OFFSET($H$3,0,0,'Données projet'!$E$11+1,1))</f>
        <v>191.96190073146369</v>
      </c>
      <c r="BJ55" s="59">
        <f t="shared" si="38"/>
        <v>224.0560835232115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32.770539017005738</v>
      </c>
      <c r="BQ55" s="21">
        <f>EXP(-LN(2)/25)*BQ54+(1-EXP(-LN(2)/25))/(LN(2)/25)*Calculateur!BL55*Calculateur!BN55*VLOOKUP('Données projet'!$B$11,Paramètres!$A$1:$I$89,3,0)*0.475*44/12</f>
        <v>26.041997087754545</v>
      </c>
      <c r="BR55" s="21">
        <f>EXP(-LN(2)/2)*BR54+(1-EXP(-LN(2)/2))/(LN(2)/2)*BL55*BO55*VLOOKUP('Données projet'!$B$11,Paramètres!$A$1:$I$89,3,0)*0.475*44/12</f>
        <v>2.1453125295806457</v>
      </c>
      <c r="BS55" s="22">
        <f t="shared" si="9"/>
        <v>60.957848634340927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22.4</v>
      </c>
      <c r="N56" s="13">
        <f>IF('Données projet'!$A$36&gt;35,N55+M56-V55,IF(A56&lt;'Données projet'!$A$36,$K$205^A56,IF(A56='Données projet'!$A$36,'Données projet'!$B$36,N55+M56-V55)))</f>
        <v>641.19999999999959</v>
      </c>
      <c r="O56" s="13">
        <f>N56*VLOOKUP('Données projet'!$B$9,Paramètres!$A$1:$I$89,3,0)*VLOOKUP('Données projet'!$B$9,Paramètres!$A$1:$I$89,5,0)</f>
        <v>358.43079999999981</v>
      </c>
      <c r="P56" s="13">
        <f t="shared" si="33"/>
        <v>83.296088337193382</v>
      </c>
      <c r="Q56" s="20">
        <f t="shared" si="53"/>
        <v>769.34099718727805</v>
      </c>
      <c r="R56" s="59">
        <f t="shared" si="0"/>
        <v>1062.6743305206114</v>
      </c>
      <c r="S56" s="59">
        <f ca="1">AVERAGE(OFFSET($R$3,0,0,'Données projet'!$E$9+1,1))-AVERAGE(OFFSET($H$3,0,0,'Données projet'!$E$9+1,1))</f>
        <v>410.71046306000068</v>
      </c>
      <c r="T56" s="59">
        <f t="shared" si="34"/>
        <v>430.43167430170087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81.48858978972153</v>
      </c>
      <c r="AA56" s="21">
        <f>EXP(-LN(2)/25)*AA55+(1-EXP(-LN(2)/25))/(LN(2)/25)*Calculateur!V56*Calculateur!X56*VLOOKUP('Données projet'!$B$9,Paramètres!$A$1:$I$89,3,0)*0.475*44/12</f>
        <v>34.503781464748272</v>
      </c>
      <c r="AB56" s="21">
        <f>EXP(-LN(2)/2)*AB55+(1-EXP(-LN(2)/2))/(LN(2)/2)*V56*Y56*VLOOKUP('Données projet'!$B$9,Paramètres!$A$1:$I$89,3,0)*0.475*44/12</f>
        <v>3.1563147256286053</v>
      </c>
      <c r="AC56" s="22">
        <f t="shared" si="3"/>
        <v>119.14868598009841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24.2</v>
      </c>
      <c r="AI56" s="13">
        <f>IF('Données projet'!$A$62&gt;35,AI55+AH56-AQ55,IF(A56&lt;'Données projet'!$A$62,$AF$205^A56,IF(A56='Données projet'!$A$62,'Données projet'!$B$62,AI55+AH56-AQ55)))</f>
        <v>732.6</v>
      </c>
      <c r="AJ56" s="13">
        <f>AI56*VLOOKUP('Données projet'!$B$10,Paramètres!$A$1:$I$89,3,0)*VLOOKUP('Données projet'!$B$10,Paramètres!$A$1:$I$89,5,0)</f>
        <v>323.80920000000003</v>
      </c>
      <c r="AK56" s="13">
        <f t="shared" si="35"/>
        <v>76.145385123817718</v>
      </c>
      <c r="AL56" s="20">
        <f t="shared" si="4"/>
        <v>696.58756909064925</v>
      </c>
      <c r="AM56" s="59">
        <f t="shared" si="5"/>
        <v>989.92090242398262</v>
      </c>
      <c r="AN56" s="59">
        <f ca="1">AVERAGE(OFFSET($AM$3,0,0,'Données projet'!$E$10+1,1))-AVERAGE(OFFSET($H$3,0,0,'Données projet'!$E$10+1,1))</f>
        <v>343.36665824683809</v>
      </c>
      <c r="AO56" s="59">
        <f t="shared" si="36"/>
        <v>342.89042241858527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57.880377335840059</v>
      </c>
      <c r="AV56" s="21">
        <f>EXP(-LN(2)/25)*AV55+(1-EXP(-LN(2)/25))/(LN(2)/25)*Calculateur!AQ56*Calculateur!AS56*VLOOKUP('Données projet'!$B$10,Paramètres!$A$1:$I$89,3,0)*0.475*44/12</f>
        <v>27.984354974717736</v>
      </c>
      <c r="AW56" s="21">
        <f>EXP(-LN(2)/2)*AW55+(1-EXP(-LN(2)/2))/(LN(2)/2)*AQ56*AT56*VLOOKUP('Données projet'!$B$10,Paramètres!$A$1:$I$89,3,0)*0.475*44/12</f>
        <v>2.3698978746367056</v>
      </c>
      <c r="AX56" s="21">
        <f t="shared" si="6"/>
        <v>88.234630185194504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10.199999999999999</v>
      </c>
      <c r="BD56" s="12">
        <f>IF('Données projet'!$A$88&gt;35,BD55+BC56-BL55,IF(A56&lt;'Données projet'!$A$88,$BA$205^A56,IF(A56='Données projet'!$A$88,'Données projet'!$B$88,BD55+BC56-BL55)))</f>
        <v>314.60000000000002</v>
      </c>
      <c r="BE56" s="13">
        <f>BD56*VLOOKUP('Données projet'!$B$11,Paramètres!$A$1:$I$89,3,0)*VLOOKUP('Données projet'!$B$11,Paramètres!$A$1:$I$89,5,0)</f>
        <v>171.77160000000001</v>
      </c>
      <c r="BF56" s="13">
        <f t="shared" si="37"/>
        <v>43.486563328347792</v>
      </c>
      <c r="BG56" s="20">
        <f t="shared" si="7"/>
        <v>374.90796779687236</v>
      </c>
      <c r="BH56" s="59">
        <f t="shared" si="8"/>
        <v>668.24130113020567</v>
      </c>
      <c r="BI56" s="59">
        <f ca="1">AVERAGE(OFFSET($BH$3,0,0,'Données projet'!$E$11+1,1))-AVERAGE(OFFSET($H$3,0,0,'Données projet'!$E$11+1,1))</f>
        <v>191.96190073146369</v>
      </c>
      <c r="BJ56" s="59">
        <f t="shared" si="38"/>
        <v>224.0560835232115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32.127928734937399</v>
      </c>
      <c r="BQ56" s="21">
        <f>EXP(-LN(2)/25)*BQ55+(1-EXP(-LN(2)/25))/(LN(2)/25)*Calculateur!BL56*Calculateur!BN56*VLOOKUP('Données projet'!$B$11,Paramètres!$A$1:$I$89,3,0)*0.475*44/12</f>
        <v>25.329877307900791</v>
      </c>
      <c r="BR56" s="21">
        <f>EXP(-LN(2)/2)*BR55+(1-EXP(-LN(2)/2))/(LN(2)/2)*BL56*BO56*VLOOKUP('Données projet'!$B$11,Paramètres!$A$1:$I$89,3,0)*0.475*44/12</f>
        <v>1.5169650374309405</v>
      </c>
      <c r="BS56" s="22">
        <f t="shared" si="9"/>
        <v>58.974771080269129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22.4</v>
      </c>
      <c r="N57" s="13">
        <f>IF('Données projet'!$A$36&gt;35,N56+M57-V56,IF(A57&lt;'Données projet'!$A$36,$K$205^A57,IF(A57='Données projet'!$A$36,'Données projet'!$B$36,N56+M57-V56)))</f>
        <v>663.59999999999957</v>
      </c>
      <c r="O57" s="13">
        <f>N57*VLOOKUP('Données projet'!$B$9,Paramètres!$A$1:$I$89,3,0)*VLOOKUP('Données projet'!$B$9,Paramètres!$A$1:$I$89,5,0)</f>
        <v>370.95239999999973</v>
      </c>
      <c r="P57" s="13">
        <f t="shared" si="33"/>
        <v>85.862121189180868</v>
      </c>
      <c r="Q57" s="20">
        <f t="shared" si="53"/>
        <v>795.61862440448965</v>
      </c>
      <c r="R57" s="59">
        <f t="shared" si="0"/>
        <v>1088.951957737823</v>
      </c>
      <c r="S57" s="59">
        <f ca="1">AVERAGE(OFFSET($R$3,0,0,'Données projet'!$E$9+1,1))-AVERAGE(OFFSET($H$3,0,0,'Données projet'!$E$9+1,1))</f>
        <v>410.71046306000068</v>
      </c>
      <c r="T57" s="59">
        <f t="shared" si="34"/>
        <v>430.43167430170087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79.890648247077081</v>
      </c>
      <c r="AA57" s="21">
        <f>EXP(-LN(2)/25)*AA56+(1-EXP(-LN(2)/25))/(LN(2)/25)*Calculateur!V57*Calculateur!X57*VLOOKUP('Données projet'!$B$9,Paramètres!$A$1:$I$89,3,0)*0.475*44/12</f>
        <v>33.560273746119719</v>
      </c>
      <c r="AB57" s="21">
        <f>EXP(-LN(2)/2)*AB56+(1-EXP(-LN(2)/2))/(LN(2)/2)*V57*Y57*VLOOKUP('Données projet'!$B$9,Paramètres!$A$1:$I$89,3,0)*0.475*44/12</f>
        <v>2.2318515460509443</v>
      </c>
      <c r="AC57" s="22">
        <f t="shared" si="3"/>
        <v>115.68277353924775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24.2</v>
      </c>
      <c r="AI57" s="13">
        <f>IF('Données projet'!$A$62&gt;35,AI56+AH57-AQ56,IF(A57&lt;'Données projet'!$A$62,$AF$205^A57,IF(A57='Données projet'!$A$62,'Données projet'!$B$62,AI56+AH57-AQ56)))</f>
        <v>756.80000000000007</v>
      </c>
      <c r="AJ57" s="13">
        <f>AI57*VLOOKUP('Données projet'!$B$10,Paramètres!$A$1:$I$89,3,0)*VLOOKUP('Données projet'!$B$10,Paramètres!$A$1:$I$89,5,0)</f>
        <v>334.50560000000013</v>
      </c>
      <c r="AK57" s="13">
        <f t="shared" si="35"/>
        <v>78.363694470523086</v>
      </c>
      <c r="AL57" s="20">
        <f t="shared" si="4"/>
        <v>719.08068786949445</v>
      </c>
      <c r="AM57" s="59">
        <f t="shared" si="5"/>
        <v>1012.4140212028278</v>
      </c>
      <c r="AN57" s="59">
        <f ca="1">AVERAGE(OFFSET($AM$3,0,0,'Données projet'!$E$10+1,1))-AVERAGE(OFFSET($H$3,0,0,'Données projet'!$E$10+1,1))</f>
        <v>343.36665824683809</v>
      </c>
      <c r="AO57" s="59">
        <f t="shared" si="36"/>
        <v>342.89042241858527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56.745378439828478</v>
      </c>
      <c r="AV57" s="21">
        <f>EXP(-LN(2)/25)*AV56+(1-EXP(-LN(2)/25))/(LN(2)/25)*Calculateur!AQ57*Calculateur!AS57*VLOOKUP('Données projet'!$B$10,Paramètres!$A$1:$I$89,3,0)*0.475*44/12</f>
        <v>27.219121316300811</v>
      </c>
      <c r="AW57" s="21">
        <f>EXP(-LN(2)/2)*AW56+(1-EXP(-LN(2)/2))/(LN(2)/2)*AQ57*AT57*VLOOKUP('Données projet'!$B$10,Paramètres!$A$1:$I$89,3,0)*0.475*44/12</f>
        <v>1.6757708578752011</v>
      </c>
      <c r="AX57" s="21">
        <f t="shared" si="6"/>
        <v>85.640270614004493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10.199999999999999</v>
      </c>
      <c r="BD57" s="12">
        <f>IF('Données projet'!$A$88&gt;35,BD56+BC57-BL56,IF(A57&lt;'Données projet'!$A$88,$BA$205^A57,IF(A57='Données projet'!$A$88,'Données projet'!$B$88,BD56+BC57-BL56)))</f>
        <v>324.8</v>
      </c>
      <c r="BE57" s="13">
        <f>BD57*VLOOKUP('Données projet'!$B$11,Paramètres!$A$1:$I$89,3,0)*VLOOKUP('Données projet'!$B$11,Paramètres!$A$1:$I$89,5,0)</f>
        <v>177.3408</v>
      </c>
      <c r="BF57" s="13">
        <f t="shared" si="37"/>
        <v>44.730051658603102</v>
      </c>
      <c r="BG57" s="20">
        <f t="shared" si="7"/>
        <v>386.77339997206701</v>
      </c>
      <c r="BH57" s="59">
        <f t="shared" si="8"/>
        <v>680.10673330540033</v>
      </c>
      <c r="BI57" s="59">
        <f ca="1">AVERAGE(OFFSET($BH$3,0,0,'Données projet'!$E$11+1,1))-AVERAGE(OFFSET($H$3,0,0,'Données projet'!$E$11+1,1))</f>
        <v>191.96190073146369</v>
      </c>
      <c r="BJ57" s="59">
        <f t="shared" si="38"/>
        <v>224.0560835232115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31.497919648546851</v>
      </c>
      <c r="BQ57" s="21">
        <f>EXP(-LN(2)/25)*BQ56+(1-EXP(-LN(2)/25))/(LN(2)/25)*Calculateur!BL57*Calculateur!BN57*VLOOKUP('Données projet'!$B$11,Paramètres!$A$1:$I$89,3,0)*0.475*44/12</f>
        <v>24.637230480875889</v>
      </c>
      <c r="BR57" s="21">
        <f>EXP(-LN(2)/2)*BR56+(1-EXP(-LN(2)/2))/(LN(2)/2)*BL57*BO57*VLOOKUP('Données projet'!$B$11,Paramètres!$A$1:$I$89,3,0)*0.475*44/12</f>
        <v>1.0726562647903231</v>
      </c>
      <c r="BS57" s="22">
        <f t="shared" si="9"/>
        <v>57.207806394213065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686</v>
      </c>
      <c r="L58" s="12">
        <f>VLOOKUP(A58,'Données projet'!$A$35:$I$55,9,0)</f>
        <v>22.4</v>
      </c>
      <c r="M58" s="12">
        <f t="array" ref="M58">INDEX(L:L,MIN(IF(ISNUMBER(L58:L254),ROW(L58:L254),"")))</f>
        <v>22.4</v>
      </c>
      <c r="N58" s="13">
        <f>IF('Données projet'!$A$36&gt;35,N57+M58-V57,IF(A58&lt;'Données projet'!$A$36,$K$205^A58,IF(A58='Données projet'!$A$36,'Données projet'!$B$36,N57+M58-V57)))</f>
        <v>685.99999999999955</v>
      </c>
      <c r="O58" s="13">
        <f>N58*VLOOKUP('Données projet'!$B$9,Paramètres!$A$1:$I$89,3,0)*VLOOKUP('Données projet'!$B$9,Paramètres!$A$1:$I$89,5,0)</f>
        <v>383.47399999999976</v>
      </c>
      <c r="P58" s="13">
        <f t="shared" si="33"/>
        <v>88.41808956787203</v>
      </c>
      <c r="Q58" s="20">
        <f t="shared" si="53"/>
        <v>821.87872266404338</v>
      </c>
      <c r="R58" s="59">
        <f t="shared" si="0"/>
        <v>1115.2120559973766</v>
      </c>
      <c r="S58" s="59">
        <f ca="1">AVERAGE(OFFSET($R$3,0,0,'Données projet'!$E$9+1,1))-AVERAGE(OFFSET($H$3,0,0,'Données projet'!$E$9+1,1))</f>
        <v>410.71046306000068</v>
      </c>
      <c r="T58" s="59">
        <f t="shared" si="34"/>
        <v>430.43167430170087</v>
      </c>
      <c r="U58" s="15">
        <f>IF(ISNA(VLOOKUP(A58,'Données projet'!$A$35:$I$55,3,0)),0,VLOOKUP(A58,'Données projet'!$A$35:$I$55,3,0))</f>
        <v>10</v>
      </c>
      <c r="V58" s="15">
        <f>IF(ISNA(VLOOKUP(A58,'Données projet'!$A$35:$I$55,4,0)),0,VLOOKUP(A58,'Données projet'!$A$35:$I$55,4,0))</f>
        <v>53</v>
      </c>
      <c r="W58" s="16">
        <f>IF(ISNA(VLOOKUP(A58,'Données projet'!$A$35:$I$55,5,0)),0%,VLOOKUP(A58,'Données projet'!$A$35:$I$55,5,0)*VLOOKUP('Données projet'!$B$9,Paramètres!$A$1:$I$89,7,0))</f>
        <v>0.38500000000000001</v>
      </c>
      <c r="X58" s="16">
        <f>IF(ISNA(VLOOKUP(A58,'Données projet'!$A$35:$I$55,6,0)),0%,VLOOKUP(A58,'Données projet'!$A$35:$I$55,6,0)*VLOOKUP('Données projet'!$B$9,Paramètres!$A$1:$I$89,7,0))</f>
        <v>9.3500000000000014E-2</v>
      </c>
      <c r="Y58" s="16">
        <f>IF(ISNA(VLOOKUP(A58,'Données projet'!$A$35:$I$55,7,0)),0%,VLOOKUP(A58,'Données projet'!$A$35:$I$55,7,0))</f>
        <v>0.13</v>
      </c>
      <c r="Z58" s="21">
        <f>EXP(-LN(2)/35)*Z57+(1-EXP(-LN(2)/35))/(LN(2)/35)*V58*W58*VLOOKUP('Données projet'!$B$9,Paramètres!$A$1:$I$89,3,0)*0.475*44/12</f>
        <v>93.455359535139095</v>
      </c>
      <c r="AA58" s="21">
        <f>EXP(-LN(2)/25)*AA57+(1-EXP(-LN(2)/25))/(LN(2)/25)*Calculateur!V58*Calculateur!X58*VLOOKUP('Données projet'!$B$9,Paramètres!$A$1:$I$89,3,0)*0.475*44/12</f>
        <v>36.302846108699839</v>
      </c>
      <c r="AB58" s="21">
        <f>EXP(-LN(2)/2)*AB57+(1-EXP(-LN(2)/2))/(LN(2)/2)*V58*Y58*VLOOKUP('Données projet'!$B$9,Paramètres!$A$1:$I$89,3,0)*0.475*44/12</f>
        <v>5.9389613790604603</v>
      </c>
      <c r="AC58" s="22">
        <f t="shared" si="3"/>
        <v>135.69716702289941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781</v>
      </c>
      <c r="AG58" s="12">
        <f>VLOOKUP(A58,'Données projet'!$A$61:$I$81,9,0)</f>
        <v>24.2</v>
      </c>
      <c r="AH58" s="12">
        <f t="array" ref="AH58">INDEX(AG:AG,MIN(IF(ISNUMBER(AG58:AG254),ROW(AG58:AG254),"")))</f>
        <v>24.2</v>
      </c>
      <c r="AI58" s="13">
        <f>IF('Données projet'!$A$62&gt;35,AI57+AH58-AQ57,IF(A58&lt;'Données projet'!$A$62,$AF$205^A58,IF(A58='Données projet'!$A$62,'Données projet'!$B$62,AI57+AH58-AQ57)))</f>
        <v>781.00000000000011</v>
      </c>
      <c r="AJ58" s="13">
        <f>AI58*VLOOKUP('Données projet'!$B$10,Paramètres!$A$1:$I$89,3,0)*VLOOKUP('Données projet'!$B$10,Paramètres!$A$1:$I$89,5,0)</f>
        <v>345.20200000000011</v>
      </c>
      <c r="AK58" s="13">
        <f t="shared" si="35"/>
        <v>80.573760926539379</v>
      </c>
      <c r="AL58" s="20">
        <f t="shared" si="4"/>
        <v>741.55945028038957</v>
      </c>
      <c r="AM58" s="59">
        <f t="shared" si="5"/>
        <v>1034.8927836137229</v>
      </c>
      <c r="AN58" s="59">
        <f ca="1">AVERAGE(OFFSET($AM$3,0,0,'Données projet'!$E$10+1,1))-AVERAGE(OFFSET($H$3,0,0,'Données projet'!$E$10+1,1))</f>
        <v>343.36665824683809</v>
      </c>
      <c r="AO58" s="59">
        <f t="shared" si="36"/>
        <v>342.89042241858527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51</v>
      </c>
      <c r="AR58" s="16">
        <f>IF(ISNA(VLOOKUP(A58,'Données projet'!$A$61:$I$81,5,0)),0%,VLOOKUP(A58,'Données projet'!$A$61:$I$81,5,0)*VLOOKUP('Données projet'!$B$10,Paramètres!$A$1:$I$89,7,0))</f>
        <v>0.33</v>
      </c>
      <c r="AS58" s="16">
        <f>IF(ISNA(VLOOKUP(A58,'Données projet'!$A$61:$I$81,6,0)),0%,VLOOKUP(A58,'Données projet'!$A$61:$I$81,6,0)*VLOOKUP('Données projet'!$B$10,Paramètres!$A$1:$I$89,7,0))</f>
        <v>0.12100000000000001</v>
      </c>
      <c r="AT58" s="16">
        <f>IF(ISNA(VLOOKUP(A58,'Données projet'!$A$61:$I$81,7,0)),0%,VLOOKUP(A58,'Données projet'!$A$61:$I$81,7,0))</f>
        <v>0.18</v>
      </c>
      <c r="AU58" s="21">
        <f>EXP(-LN(2)/35)*AU57+(1-EXP(-LN(2)/35))/(LN(2)/35)*AQ58*AR58*VLOOKUP('Données projet'!$B$10,Paramètres!$A$1:$I$89,3,0)*0.475*44/12</f>
        <v>65.500763444877691</v>
      </c>
      <c r="AV58" s="21">
        <f>EXP(-LN(2)/25)*AV57+(1-EXP(-LN(2)/25))/(LN(2)/25)*Calculateur!AQ58*Calculateur!AS58*VLOOKUP('Données projet'!$B$10,Paramètres!$A$1:$I$89,3,0)*0.475*44/12</f>
        <v>30.078879664744246</v>
      </c>
      <c r="AW58" s="21">
        <f>EXP(-LN(2)/2)*AW57+(1-EXP(-LN(2)/2))/(LN(2)/2)*AQ58*AT58*VLOOKUP('Données projet'!$B$10,Paramètres!$A$1:$I$89,3,0)*0.475*44/12</f>
        <v>5.7790494184698398</v>
      </c>
      <c r="AX58" s="21">
        <f t="shared" si="6"/>
        <v>101.35869252809178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335</v>
      </c>
      <c r="BB58" s="12">
        <f>VLOOKUP(A58,'Données projet'!$A$87:$I$107,9,0)</f>
        <v>10.199999999999999</v>
      </c>
      <c r="BC58" s="12">
        <f t="array" ref="BC58">INDEX(BB:BB,MIN(IF(ISNUMBER(BB58:BB254),ROW(BB58:BB254),"")))</f>
        <v>10.199999999999999</v>
      </c>
      <c r="BD58" s="12">
        <f>IF('Données projet'!$A$88&gt;35,BD57+BC58-BL57,IF(A58&lt;'Données projet'!$A$88,$BA$205^A58,IF(A58='Données projet'!$A$88,'Données projet'!$B$88,BD57+BC58-BL57)))</f>
        <v>335</v>
      </c>
      <c r="BE58" s="13">
        <f>BD58*VLOOKUP('Données projet'!$B$11,Paramètres!$A$1:$I$89,3,0)*VLOOKUP('Données projet'!$B$11,Paramètres!$A$1:$I$89,5,0)</f>
        <v>182.91</v>
      </c>
      <c r="BF58" s="13">
        <f t="shared" si="37"/>
        <v>45.969002027971285</v>
      </c>
      <c r="BG58" s="20">
        <f t="shared" si="7"/>
        <v>398.63092853204995</v>
      </c>
      <c r="BH58" s="59">
        <f t="shared" si="8"/>
        <v>691.96426186538326</v>
      </c>
      <c r="BI58" s="59">
        <f ca="1">AVERAGE(OFFSET($BH$3,0,0,'Données projet'!$E$11+1,1))-AVERAGE(OFFSET($H$3,0,0,'Données projet'!$E$11+1,1))</f>
        <v>191.96190073146369</v>
      </c>
      <c r="BJ58" s="59">
        <f t="shared" si="38"/>
        <v>224.0560835232115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29</v>
      </c>
      <c r="BM58" s="16">
        <f>IF(ISNA(VLOOKUP(A58,'Données projet'!$A$87:$I$107,5,0)),0%,VLOOKUP(A58,'Données projet'!$A$87:$I$107,5,0)*VLOOKUP('Données projet'!$B$11,Paramètres!$A$1:$I$89,7,0))</f>
        <v>0.36</v>
      </c>
      <c r="BN58" s="16">
        <f>IF(ISNA(VLOOKUP(A58,'Données projet'!$A$87:$I$107,6,0)),0%,VLOOKUP(A58,'Données projet'!$A$87:$I$107,6,0)*VLOOKUP('Données projet'!$B$11,Paramètres!$A$1:$I$89,7,0))</f>
        <v>0.13200000000000001</v>
      </c>
      <c r="BO58" s="16">
        <f>IF(ISNA(VLOOKUP(A58,'Données projet'!$A$87:$I$107,7,0)),0%,VLOOKUP(A58,'Données projet'!$A$87:$I$107,7,0))</f>
        <v>0.18</v>
      </c>
      <c r="BP58" s="21">
        <f>EXP(-LN(2)/35)*BP57+(1-EXP(-LN(2)/35))/(LN(2)/35)*BL58*BM58*VLOOKUP('Données projet'!$B$11,Paramètres!$A$1:$I$89,3,0)*0.475*44/12</f>
        <v>38.442000427547505</v>
      </c>
      <c r="BQ58" s="21">
        <f>EXP(-LN(2)/25)*BQ57+(1-EXP(-LN(2)/25))/(LN(2)/25)*Calculateur!BL58*Calculateur!BN58*VLOOKUP('Données projet'!$B$11,Paramètres!$A$1:$I$89,3,0)*0.475*44/12</f>
        <v>26.72524364114226</v>
      </c>
      <c r="BR58" s="21">
        <f>EXP(-LN(2)/2)*BR57+(1-EXP(-LN(2)/2))/(LN(2)/2)*BL58*BO58*VLOOKUP('Données projet'!$B$11,Paramètres!$A$1:$I$89,3,0)*0.475*44/12</f>
        <v>3.9854804345416013</v>
      </c>
      <c r="BS58" s="22">
        <f t="shared" si="9"/>
        <v>69.152724503231369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20.6</v>
      </c>
      <c r="N59" s="13">
        <f>IF('Données projet'!$A$36&gt;35,N58+M59-V58,IF(A59&lt;'Données projet'!$A$36,$K$205^A59,IF(A59='Données projet'!$A$36,'Données projet'!$B$36,N58+M59-V58)))</f>
        <v>653.59999999999957</v>
      </c>
      <c r="O59" s="13">
        <f>N59*VLOOKUP('Données projet'!$B$9,Paramètres!$A$1:$I$89,3,0)*VLOOKUP('Données projet'!$B$9,Paramètres!$A$1:$I$89,5,0)</f>
        <v>365.36239999999981</v>
      </c>
      <c r="P59" s="13">
        <f t="shared" si="33"/>
        <v>84.717837206926646</v>
      </c>
      <c r="Q59" s="20">
        <f t="shared" si="53"/>
        <v>783.88974646873021</v>
      </c>
      <c r="R59" s="59">
        <f t="shared" si="0"/>
        <v>1077.2230798020635</v>
      </c>
      <c r="S59" s="59">
        <f ca="1">AVERAGE(OFFSET($R$3,0,0,'Données projet'!$E$9+1,1))-AVERAGE(OFFSET($H$3,0,0,'Données projet'!$E$9+1,1))</f>
        <v>410.71046306000068</v>
      </c>
      <c r="T59" s="59">
        <f t="shared" si="34"/>
        <v>430.43167430170087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91.622756936795838</v>
      </c>
      <c r="AA59" s="21">
        <f>EXP(-LN(2)/25)*AA58+(1-EXP(-LN(2)/25))/(LN(2)/25)*Calculateur!V59*Calculateur!X59*VLOOKUP('Données projet'!$B$9,Paramètres!$A$1:$I$89,3,0)*0.475*44/12</f>
        <v>35.310142872773739</v>
      </c>
      <c r="AB59" s="21">
        <f>EXP(-LN(2)/2)*AB58+(1-EXP(-LN(2)/2))/(LN(2)/2)*V59*Y59*VLOOKUP('Données projet'!$B$9,Paramètres!$A$1:$I$89,3,0)*0.475*44/12</f>
        <v>4.1994798643386613</v>
      </c>
      <c r="AC59" s="22">
        <f t="shared" si="3"/>
        <v>131.13237967390825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21</v>
      </c>
      <c r="AI59" s="13">
        <f>IF('Données projet'!$A$62&gt;35,AI58+AH59-AQ58,IF(A59&lt;'Données projet'!$A$62,$AF$205^A59,IF(A59='Données projet'!$A$62,'Données projet'!$B$62,AI58+AH59-AQ58)))</f>
        <v>751.00000000000011</v>
      </c>
      <c r="AJ59" s="13">
        <f>AI59*VLOOKUP('Données projet'!$B$10,Paramètres!$A$1:$I$89,3,0)*VLOOKUP('Données projet'!$B$10,Paramètres!$A$1:$I$89,5,0)</f>
        <v>331.94200000000006</v>
      </c>
      <c r="AK59" s="13">
        <f t="shared" si="35"/>
        <v>77.832795721146297</v>
      </c>
      <c r="AL59" s="20">
        <f t="shared" si="4"/>
        <v>713.69110254766326</v>
      </c>
      <c r="AM59" s="59">
        <f t="shared" si="5"/>
        <v>1007.0244358809966</v>
      </c>
      <c r="AN59" s="59">
        <f ca="1">AVERAGE(OFFSET($AM$3,0,0,'Données projet'!$E$10+1,1))-AVERAGE(OFFSET($H$3,0,0,'Données projet'!$E$10+1,1))</f>
        <v>343.36665824683809</v>
      </c>
      <c r="AO59" s="59">
        <f t="shared" si="36"/>
        <v>342.89042241858527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64.216333425244457</v>
      </c>
      <c r="AV59" s="21">
        <f>EXP(-LN(2)/25)*AV58+(1-EXP(-LN(2)/25))/(LN(2)/25)*Calculateur!AQ59*Calculateur!AS59*VLOOKUP('Données projet'!$B$10,Paramètres!$A$1:$I$89,3,0)*0.475*44/12</f>
        <v>29.256371118532279</v>
      </c>
      <c r="AW59" s="21">
        <f>EXP(-LN(2)/2)*AW58+(1-EXP(-LN(2)/2))/(LN(2)/2)*AQ59*AT59*VLOOKUP('Données projet'!$B$10,Paramètres!$A$1:$I$89,3,0)*0.475*44/12</f>
        <v>4.0864050326121983</v>
      </c>
      <c r="AX59" s="21">
        <f t="shared" si="6"/>
        <v>97.55910957638892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9.4</v>
      </c>
      <c r="BD59" s="12">
        <f>IF('Données projet'!$A$88&gt;35,BD58+BC59-BL58,IF(A59&lt;'Données projet'!$A$88,$BA$205^A59,IF(A59='Données projet'!$A$88,'Données projet'!$B$88,BD58+BC59-BL58)))</f>
        <v>315.39999999999998</v>
      </c>
      <c r="BE59" s="13">
        <f>BD59*VLOOKUP('Données projet'!$B$11,Paramètres!$A$1:$I$89,3,0)*VLOOKUP('Données projet'!$B$11,Paramètres!$A$1:$I$89,5,0)</f>
        <v>172.20839999999998</v>
      </c>
      <c r="BF59" s="13">
        <f t="shared" si="37"/>
        <v>43.584259567303029</v>
      </c>
      <c r="BG59" s="20">
        <f t="shared" si="7"/>
        <v>375.83888207971944</v>
      </c>
      <c r="BH59" s="59">
        <f t="shared" si="8"/>
        <v>669.17221541305275</v>
      </c>
      <c r="BI59" s="59">
        <f ca="1">AVERAGE(OFFSET($BH$3,0,0,'Données projet'!$E$11+1,1))-AVERAGE(OFFSET($H$3,0,0,'Données projet'!$E$11+1,1))</f>
        <v>191.96190073146369</v>
      </c>
      <c r="BJ59" s="59">
        <f t="shared" si="38"/>
        <v>224.0560835232115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37.688176246468331</v>
      </c>
      <c r="BQ59" s="21">
        <f>EXP(-LN(2)/25)*BQ58+(1-EXP(-LN(2)/25))/(LN(2)/25)*Calculateur!BL59*Calculateur!BN59*VLOOKUP('Données projet'!$B$11,Paramètres!$A$1:$I$89,3,0)*0.475*44/12</f>
        <v>25.994440448355743</v>
      </c>
      <c r="BR59" s="21">
        <f>EXP(-LN(2)/2)*BR58+(1-EXP(-LN(2)/2))/(LN(2)/2)*BL59*BO59*VLOOKUP('Données projet'!$B$11,Paramètres!$A$1:$I$89,3,0)*0.475*44/12</f>
        <v>2.8181602415506748</v>
      </c>
      <c r="BS59" s="22">
        <f t="shared" si="9"/>
        <v>66.500776936374749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20.6</v>
      </c>
      <c r="N60" s="13">
        <f>IF('Données projet'!$A$36&gt;35,N59+M60-V59,IF(A60&lt;'Données projet'!$A$36,$K$205^A60,IF(A60='Données projet'!$A$36,'Données projet'!$B$36,N59+M60-V59)))</f>
        <v>674.19999999999959</v>
      </c>
      <c r="O60" s="13">
        <f>N60*VLOOKUP('Données projet'!$B$9,Paramètres!$A$1:$I$89,3,0)*VLOOKUP('Données projet'!$B$9,Paramètres!$A$1:$I$89,5,0)</f>
        <v>376.87779999999981</v>
      </c>
      <c r="P60" s="13">
        <f t="shared" si="33"/>
        <v>87.072873364789544</v>
      </c>
      <c r="Q60" s="20">
        <f t="shared" si="53"/>
        <v>808.04742277700814</v>
      </c>
      <c r="R60" s="59">
        <f t="shared" si="0"/>
        <v>1101.3807561103415</v>
      </c>
      <c r="S60" s="59">
        <f ca="1">AVERAGE(OFFSET($R$3,0,0,'Données projet'!$E$9+1,1))-AVERAGE(OFFSET($H$3,0,0,'Données projet'!$E$9+1,1))</f>
        <v>410.71046306000068</v>
      </c>
      <c r="T60" s="59">
        <f t="shared" si="34"/>
        <v>430.43167430170087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89.826090557628874</v>
      </c>
      <c r="AA60" s="21">
        <f>EXP(-LN(2)/25)*AA59+(1-EXP(-LN(2)/25))/(LN(2)/25)*Calculateur!V60*Calculateur!X60*VLOOKUP('Données projet'!$B$9,Paramètres!$A$1:$I$89,3,0)*0.475*44/12</f>
        <v>34.344585159038033</v>
      </c>
      <c r="AB60" s="21">
        <f>EXP(-LN(2)/2)*AB59+(1-EXP(-LN(2)/2))/(LN(2)/2)*V60*Y60*VLOOKUP('Données projet'!$B$9,Paramètres!$A$1:$I$89,3,0)*0.475*44/12</f>
        <v>2.9694806895302301</v>
      </c>
      <c r="AC60" s="22">
        <f t="shared" si="3"/>
        <v>127.14015640619714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21</v>
      </c>
      <c r="AI60" s="13">
        <f>IF('Données projet'!$A$62&gt;35,AI59+AH60-AQ59,IF(A60&lt;'Données projet'!$A$62,$AF$205^A60,IF(A60='Données projet'!$A$62,'Données projet'!$B$62,AI59+AH60-AQ59)))</f>
        <v>772.00000000000011</v>
      </c>
      <c r="AJ60" s="13">
        <f>AI60*VLOOKUP('Données projet'!$B$10,Paramètres!$A$1:$I$89,3,0)*VLOOKUP('Données projet'!$B$10,Paramètres!$A$1:$I$89,5,0)</f>
        <v>341.2240000000001</v>
      </c>
      <c r="AK60" s="13">
        <f t="shared" si="35"/>
        <v>79.752779657506935</v>
      </c>
      <c r="AL60" s="20">
        <f t="shared" si="4"/>
        <v>733.20122457015805</v>
      </c>
      <c r="AM60" s="59">
        <f t="shared" si="5"/>
        <v>1026.5345579034913</v>
      </c>
      <c r="AN60" s="59">
        <f ca="1">AVERAGE(OFFSET($AM$3,0,0,'Données projet'!$E$10+1,1))-AVERAGE(OFFSET($H$3,0,0,'Données projet'!$E$10+1,1))</f>
        <v>343.36665824683809</v>
      </c>
      <c r="AO60" s="59">
        <f t="shared" si="36"/>
        <v>342.89042241858527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62.957090294871271</v>
      </c>
      <c r="AV60" s="21">
        <f>EXP(-LN(2)/25)*AV59+(1-EXP(-LN(2)/25))/(LN(2)/25)*Calculateur!AQ60*Calculateur!AS60*VLOOKUP('Données projet'!$B$10,Paramètres!$A$1:$I$89,3,0)*0.475*44/12</f>
        <v>28.456354111770324</v>
      </c>
      <c r="AW60" s="21">
        <f>EXP(-LN(2)/2)*AW59+(1-EXP(-LN(2)/2))/(LN(2)/2)*AQ60*AT60*VLOOKUP('Données projet'!$B$10,Paramètres!$A$1:$I$89,3,0)*0.475*44/12</f>
        <v>2.8895247092349203</v>
      </c>
      <c r="AX60" s="21">
        <f t="shared" si="6"/>
        <v>94.302969115876508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9.4</v>
      </c>
      <c r="BD60" s="12">
        <f>IF('Données projet'!$A$88&gt;35,BD59+BC60-BL59,IF(A60&lt;'Données projet'!$A$88,$BA$205^A60,IF(A60='Données projet'!$A$88,'Données projet'!$B$88,BD59+BC60-BL59)))</f>
        <v>324.79999999999995</v>
      </c>
      <c r="BE60" s="13">
        <f>BD60*VLOOKUP('Données projet'!$B$11,Paramètres!$A$1:$I$89,3,0)*VLOOKUP('Données projet'!$B$11,Paramètres!$A$1:$I$89,5,0)</f>
        <v>177.34079999999997</v>
      </c>
      <c r="BF60" s="13">
        <f t="shared" si="37"/>
        <v>44.73005165860306</v>
      </c>
      <c r="BG60" s="20">
        <f t="shared" si="7"/>
        <v>386.7733999720669</v>
      </c>
      <c r="BH60" s="59">
        <f t="shared" si="8"/>
        <v>680.10673330540021</v>
      </c>
      <c r="BI60" s="59">
        <f ca="1">AVERAGE(OFFSET($BH$3,0,0,'Données projet'!$E$11+1,1))-AVERAGE(OFFSET($H$3,0,0,'Données projet'!$E$11+1,1))</f>
        <v>191.96190073146369</v>
      </c>
      <c r="BJ60" s="59">
        <f t="shared" si="38"/>
        <v>224.0560835232115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36.949134097792765</v>
      </c>
      <c r="BQ60" s="21">
        <f>EXP(-LN(2)/25)*BQ59+(1-EXP(-LN(2)/25))/(LN(2)/25)*Calculateur!BL60*Calculateur!BN60*VLOOKUP('Données projet'!$B$11,Paramètres!$A$1:$I$89,3,0)*0.475*44/12</f>
        <v>25.283621107307244</v>
      </c>
      <c r="BR60" s="21">
        <f>EXP(-LN(2)/2)*BR59+(1-EXP(-LN(2)/2))/(LN(2)/2)*BL60*BO60*VLOOKUP('Données projet'!$B$11,Paramètres!$A$1:$I$89,3,0)*0.475*44/12</f>
        <v>1.9927402172708011</v>
      </c>
      <c r="BS60" s="22">
        <f t="shared" si="9"/>
        <v>64.225495422370813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20.6</v>
      </c>
      <c r="N61" s="13">
        <f>IF('Données projet'!$A$36&gt;35,N60+M61-V60,IF(A61&lt;'Données projet'!$A$36,$K$205^A61,IF(A61='Données projet'!$A$36,'Données projet'!$B$36,N60+M61-V60)))</f>
        <v>694.79999999999961</v>
      </c>
      <c r="O61" s="13">
        <f>N61*VLOOKUP('Données projet'!$B$9,Paramètres!$A$1:$I$89,3,0)*VLOOKUP('Données projet'!$B$9,Paramètres!$A$1:$I$89,5,0)</f>
        <v>388.39319999999981</v>
      </c>
      <c r="P61" s="13">
        <f t="shared" si="33"/>
        <v>89.419547172188828</v>
      </c>
      <c r="Q61" s="20">
        <f t="shared" si="53"/>
        <v>832.19053465822856</v>
      </c>
      <c r="R61" s="59">
        <f t="shared" si="0"/>
        <v>1125.5238679915619</v>
      </c>
      <c r="S61" s="59">
        <f ca="1">AVERAGE(OFFSET($R$3,0,0,'Données projet'!$E$9+1,1))-AVERAGE(OFFSET($H$3,0,0,'Données projet'!$E$9+1,1))</f>
        <v>410.71046306000068</v>
      </c>
      <c r="T61" s="59">
        <f t="shared" si="34"/>
        <v>430.43167430170087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88.064655710299093</v>
      </c>
      <c r="AA61" s="21">
        <f>EXP(-LN(2)/25)*AA60+(1-EXP(-LN(2)/25))/(LN(2)/25)*Calculateur!V61*Calculateur!X61*VLOOKUP('Données projet'!$B$9,Paramètres!$A$1:$I$89,3,0)*0.475*44/12</f>
        <v>33.405430671760897</v>
      </c>
      <c r="AB61" s="21">
        <f>EXP(-LN(2)/2)*AB60+(1-EXP(-LN(2)/2))/(LN(2)/2)*V61*Y61*VLOOKUP('Données projet'!$B$9,Paramètres!$A$1:$I$89,3,0)*0.475*44/12</f>
        <v>2.0997399321693306</v>
      </c>
      <c r="AC61" s="22">
        <f t="shared" si="3"/>
        <v>123.56982631422932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21</v>
      </c>
      <c r="AI61" s="13">
        <f>IF('Données projet'!$A$62&gt;35,AI60+AH61-AQ60,IF(A61&lt;'Données projet'!$A$62,$AF$205^A61,IF(A61='Données projet'!$A$62,'Données projet'!$B$62,AI60+AH61-AQ60)))</f>
        <v>793.00000000000011</v>
      </c>
      <c r="AJ61" s="13">
        <f>AI61*VLOOKUP('Données projet'!$B$10,Paramètres!$A$1:$I$89,3,0)*VLOOKUP('Données projet'!$B$10,Paramètres!$A$1:$I$89,5,0)</f>
        <v>350.50600000000009</v>
      </c>
      <c r="AK61" s="13">
        <f t="shared" si="35"/>
        <v>81.666693131176757</v>
      </c>
      <c r="AL61" s="20">
        <f t="shared" si="4"/>
        <v>752.70077387013305</v>
      </c>
      <c r="AM61" s="59">
        <f t="shared" si="5"/>
        <v>1046.0341072034664</v>
      </c>
      <c r="AN61" s="59">
        <f ca="1">AVERAGE(OFFSET($AM$3,0,0,'Données projet'!$E$10+1,1))-AVERAGE(OFFSET($H$3,0,0,'Données projet'!$E$10+1,1))</f>
        <v>343.36665824683809</v>
      </c>
      <c r="AO61" s="59">
        <f t="shared" si="36"/>
        <v>342.89042241858527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61.722540154222237</v>
      </c>
      <c r="AV61" s="21">
        <f>EXP(-LN(2)/25)*AV60+(1-EXP(-LN(2)/25))/(LN(2)/25)*Calculateur!AQ61*Calculateur!AS61*VLOOKUP('Données projet'!$B$10,Paramètres!$A$1:$I$89,3,0)*0.475*44/12</f>
        <v>27.678213612129341</v>
      </c>
      <c r="AW61" s="21">
        <f>EXP(-LN(2)/2)*AW60+(1-EXP(-LN(2)/2))/(LN(2)/2)*AQ61*AT61*VLOOKUP('Données projet'!$B$10,Paramètres!$A$1:$I$89,3,0)*0.475*44/12</f>
        <v>2.0432025163060992</v>
      </c>
      <c r="AX61" s="21">
        <f t="shared" si="6"/>
        <v>91.44395628265768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9.4</v>
      </c>
      <c r="BD61" s="12">
        <f>IF('Données projet'!$A$88&gt;35,BD60+BC61-BL60,IF(A61&lt;'Données projet'!$A$88,$BA$205^A61,IF(A61='Données projet'!$A$88,'Données projet'!$B$88,BD60+BC61-BL60)))</f>
        <v>334.19999999999993</v>
      </c>
      <c r="BE61" s="13">
        <f>BD61*VLOOKUP('Données projet'!$B$11,Paramètres!$A$1:$I$89,3,0)*VLOOKUP('Données projet'!$B$11,Paramètres!$A$1:$I$89,5,0)</f>
        <v>182.47319999999996</v>
      </c>
      <c r="BF61" s="13">
        <f t="shared" si="37"/>
        <v>45.871989823696389</v>
      </c>
      <c r="BG61" s="20">
        <f t="shared" si="7"/>
        <v>397.70120560960441</v>
      </c>
      <c r="BH61" s="59">
        <f t="shared" si="8"/>
        <v>691.03453894293773</v>
      </c>
      <c r="BI61" s="59">
        <f ca="1">AVERAGE(OFFSET($BH$3,0,0,'Données projet'!$E$11+1,1))-AVERAGE(OFFSET($H$3,0,0,'Données projet'!$E$11+1,1))</f>
        <v>191.96190073146369</v>
      </c>
      <c r="BJ61" s="59">
        <f t="shared" si="38"/>
        <v>224.0560835232115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36.22458411488153</v>
      </c>
      <c r="BQ61" s="21">
        <f>EXP(-LN(2)/25)*BQ60+(1-EXP(-LN(2)/25))/(LN(2)/25)*Calculateur!BL61*Calculateur!BN61*VLOOKUP('Données projet'!$B$11,Paramètres!$A$1:$I$89,3,0)*0.475*44/12</f>
        <v>24.59223915852008</v>
      </c>
      <c r="BR61" s="21">
        <f>EXP(-LN(2)/2)*BR60+(1-EXP(-LN(2)/2))/(LN(2)/2)*BL61*BO61*VLOOKUP('Données projet'!$B$11,Paramètres!$A$1:$I$89,3,0)*0.475*44/12</f>
        <v>1.4090801207753376</v>
      </c>
      <c r="BS61" s="22">
        <f t="shared" si="9"/>
        <v>62.225903394176946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20.6</v>
      </c>
      <c r="N62" s="13">
        <f>IF('Données projet'!$A$36&gt;35,N61+M62-V61,IF(A62&lt;'Données projet'!$A$36,$K$205^A62,IF(A62='Données projet'!$A$36,'Données projet'!$B$36,N61+M62-V61)))</f>
        <v>715.39999999999964</v>
      </c>
      <c r="O62" s="13">
        <f>N62*VLOOKUP('Données projet'!$B$9,Paramètres!$A$1:$I$89,3,0)*VLOOKUP('Données projet'!$B$9,Paramètres!$A$1:$I$89,5,0)</f>
        <v>399.90859999999981</v>
      </c>
      <c r="P62" s="13">
        <f t="shared" si="33"/>
        <v>91.758135027472846</v>
      </c>
      <c r="Q62" s="20">
        <f t="shared" si="53"/>
        <v>856.31956350618145</v>
      </c>
      <c r="R62" s="59">
        <f t="shared" si="0"/>
        <v>1149.6528968395148</v>
      </c>
      <c r="S62" s="59">
        <f ca="1">AVERAGE(OFFSET($R$3,0,0,'Données projet'!$E$9+1,1))-AVERAGE(OFFSET($H$3,0,0,'Données projet'!$E$9+1,1))</f>
        <v>410.71046306000068</v>
      </c>
      <c r="T62" s="59">
        <f t="shared" si="34"/>
        <v>430.43167430170087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86.337761525956282</v>
      </c>
      <c r="AA62" s="21">
        <f>EXP(-LN(2)/25)*AA61+(1-EXP(-LN(2)/25))/(LN(2)/25)*Calculateur!V62*Calculateur!X62*VLOOKUP('Données projet'!$B$9,Paramètres!$A$1:$I$89,3,0)*0.475*44/12</f>
        <v>32.491957413326347</v>
      </c>
      <c r="AB62" s="21">
        <f>EXP(-LN(2)/2)*AB61+(1-EXP(-LN(2)/2))/(LN(2)/2)*V62*Y62*VLOOKUP('Données projet'!$B$9,Paramètres!$A$1:$I$89,3,0)*0.475*44/12</f>
        <v>1.4847403447651151</v>
      </c>
      <c r="AC62" s="22">
        <f t="shared" si="3"/>
        <v>120.31445928404774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21</v>
      </c>
      <c r="AI62" s="13">
        <f>IF('Données projet'!$A$62&gt;35,AI61+AH62-AQ61,IF(A62&lt;'Données projet'!$A$62,$AF$205^A62,IF(A62='Données projet'!$A$62,'Données projet'!$B$62,AI61+AH62-AQ61)))</f>
        <v>814.00000000000011</v>
      </c>
      <c r="AJ62" s="13">
        <f>AI62*VLOOKUP('Données projet'!$B$10,Paramètres!$A$1:$I$89,3,0)*VLOOKUP('Données projet'!$B$10,Paramètres!$A$1:$I$89,5,0)</f>
        <v>359.78800000000007</v>
      </c>
      <c r="AK62" s="13">
        <f t="shared" si="35"/>
        <v>83.574715376538705</v>
      </c>
      <c r="AL62" s="20">
        <f t="shared" si="4"/>
        <v>772.19006261413824</v>
      </c>
      <c r="AM62" s="59">
        <f t="shared" si="5"/>
        <v>1065.5233959474715</v>
      </c>
      <c r="AN62" s="59">
        <f ca="1">AVERAGE(OFFSET($AM$3,0,0,'Données projet'!$E$10+1,1))-AVERAGE(OFFSET($H$3,0,0,'Données projet'!$E$10+1,1))</f>
        <v>343.36665824683809</v>
      </c>
      <c r="AO62" s="59">
        <f t="shared" si="36"/>
        <v>342.89042241858527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60.512198788830098</v>
      </c>
      <c r="AV62" s="21">
        <f>EXP(-LN(2)/25)*AV61+(1-EXP(-LN(2)/25))/(LN(2)/25)*Calculateur!AQ62*Calculateur!AS62*VLOOKUP('Données projet'!$B$10,Paramètres!$A$1:$I$89,3,0)*0.475*44/12</f>
        <v>26.92135140537167</v>
      </c>
      <c r="AW62" s="21">
        <f>EXP(-LN(2)/2)*AW61+(1-EXP(-LN(2)/2))/(LN(2)/2)*AQ62*AT62*VLOOKUP('Données projet'!$B$10,Paramètres!$A$1:$I$89,3,0)*0.475*44/12</f>
        <v>1.4447623546174602</v>
      </c>
      <c r="AX62" s="21">
        <f t="shared" si="6"/>
        <v>88.878312548819238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9.4</v>
      </c>
      <c r="BD62" s="12">
        <f>IF('Données projet'!$A$88&gt;35,BD61+BC62-BL61,IF(A62&lt;'Données projet'!$A$88,$BA$205^A62,IF(A62='Données projet'!$A$88,'Données projet'!$B$88,BD61+BC62-BL61)))</f>
        <v>343.59999999999991</v>
      </c>
      <c r="BE62" s="13">
        <f>BD62*VLOOKUP('Données projet'!$B$11,Paramètres!$A$1:$I$89,3,0)*VLOOKUP('Données projet'!$B$11,Paramètres!$A$1:$I$89,5,0)</f>
        <v>187.60559999999995</v>
      </c>
      <c r="BF62" s="13">
        <f t="shared" si="37"/>
        <v>47.010194913493009</v>
      </c>
      <c r="BG62" s="20">
        <f t="shared" si="7"/>
        <v>408.62250947433353</v>
      </c>
      <c r="BH62" s="59">
        <f t="shared" si="8"/>
        <v>701.95584280766684</v>
      </c>
      <c r="BI62" s="59">
        <f ca="1">AVERAGE(OFFSET($BH$3,0,0,'Données projet'!$E$11+1,1))-AVERAGE(OFFSET($H$3,0,0,'Données projet'!$E$11+1,1))</f>
        <v>191.96190073146369</v>
      </c>
      <c r="BJ62" s="59">
        <f t="shared" si="38"/>
        <v>224.0560835232115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35.514242115203331</v>
      </c>
      <c r="BQ62" s="21">
        <f>EXP(-LN(2)/25)*BQ61+(1-EXP(-LN(2)/25))/(LN(2)/25)*Calculateur!BL62*Calculateur!BN62*VLOOKUP('Données projet'!$B$11,Paramètres!$A$1:$I$89,3,0)*0.475*44/12</f>
        <v>23.919763085480696</v>
      </c>
      <c r="BR62" s="21">
        <f>EXP(-LN(2)/2)*BR61+(1-EXP(-LN(2)/2))/(LN(2)/2)*BL62*BO62*VLOOKUP('Données projet'!$B$11,Paramètres!$A$1:$I$89,3,0)*0.475*44/12</f>
        <v>0.99637010863540065</v>
      </c>
      <c r="BS62" s="22">
        <f t="shared" si="9"/>
        <v>60.43037530931943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736</v>
      </c>
      <c r="L63" s="12">
        <f>VLOOKUP(A63,'Données projet'!$A$35:$I$55,9,0)</f>
        <v>20.6</v>
      </c>
      <c r="M63" s="12">
        <f t="array" ref="M63">INDEX(L:L,MIN(IF(ISNUMBER(L63:L259),ROW(L63:L259),"")))</f>
        <v>20.6</v>
      </c>
      <c r="N63" s="13">
        <f>IF('Données projet'!$A$36&gt;35,N62+M63-V62,IF(A63&lt;'Données projet'!$A$36,$K$205^A63,IF(A63='Données projet'!$A$36,'Données projet'!$B$36,N62+M63-V62)))</f>
        <v>735.99999999999966</v>
      </c>
      <c r="O63" s="13">
        <f>N63*VLOOKUP('Données projet'!$B$9,Paramètres!$A$1:$I$89,3,0)*VLOOKUP('Données projet'!$B$9,Paramètres!$A$1:$I$89,5,0)</f>
        <v>411.42399999999981</v>
      </c>
      <c r="P63" s="13">
        <f t="shared" si="33"/>
        <v>94.088896505909162</v>
      </c>
      <c r="Q63" s="20">
        <f t="shared" si="53"/>
        <v>880.43496141445814</v>
      </c>
      <c r="R63" s="59">
        <f t="shared" si="0"/>
        <v>1173.7682947477915</v>
      </c>
      <c r="S63" s="59">
        <f ca="1">AVERAGE(OFFSET($R$3,0,0,'Données projet'!$E$9+1,1))-AVERAGE(OFFSET($H$3,0,0,'Données projet'!$E$9+1,1))</f>
        <v>410.71046306000068</v>
      </c>
      <c r="T63" s="59">
        <f t="shared" si="34"/>
        <v>430.43167430170087</v>
      </c>
      <c r="U63" s="15">
        <f>IF(ISNA(VLOOKUP(A63,'Données projet'!$A$35:$I$55,3,0)),0,VLOOKUP(A63,'Données projet'!$A$35:$I$55,3,0))</f>
        <v>11</v>
      </c>
      <c r="V63" s="15">
        <f>IF(ISNA(VLOOKUP(A63,'Données projet'!$A$35:$I$55,4,0)),0,VLOOKUP(A63,'Données projet'!$A$35:$I$55,4,0))</f>
        <v>48</v>
      </c>
      <c r="W63" s="16">
        <f>IF(ISNA(VLOOKUP(A63,'Données projet'!$A$35:$I$55,5,0)),0%,VLOOKUP(A63,'Données projet'!$A$35:$I$55,5,0)*VLOOKUP('Données projet'!$B$9,Paramètres!$A$1:$I$89,7,0))</f>
        <v>0.38500000000000001</v>
      </c>
      <c r="X63" s="16">
        <f>IF(ISNA(VLOOKUP(A63,'Données projet'!$A$35:$I$55,6,0)),0%,VLOOKUP(A63,'Données projet'!$A$35:$I$55,6,0)*VLOOKUP('Données projet'!$B$9,Paramètres!$A$1:$I$89,7,0))</f>
        <v>9.3500000000000014E-2</v>
      </c>
      <c r="Y63" s="16">
        <f>IF(ISNA(VLOOKUP(A63,'Données projet'!$A$35:$I$55,7,0)),0%,VLOOKUP(A63,'Données projet'!$A$35:$I$55,7,0))</f>
        <v>0.13</v>
      </c>
      <c r="Z63" s="21">
        <f>EXP(-LN(2)/35)*Z62+(1-EXP(-LN(2)/35))/(LN(2)/35)*V63*W63*VLOOKUP('Données projet'!$B$9,Paramètres!$A$1:$I$89,3,0)*0.475*44/12</f>
        <v>98.348566008583177</v>
      </c>
      <c r="AA63" s="21">
        <f>EXP(-LN(2)/25)*AA62+(1-EXP(-LN(2)/25))/(LN(2)/25)*Calculateur!V63*Calculateur!X63*VLOOKUP('Données projet'!$B$9,Paramètres!$A$1:$I$89,3,0)*0.475*44/12</f>
        <v>34.918433525883827</v>
      </c>
      <c r="AB63" s="21">
        <f>EXP(-LN(2)/2)*AB62+(1-EXP(-LN(2)/2))/(LN(2)/2)*V63*Y63*VLOOKUP('Données projet'!$B$9,Paramètres!$A$1:$I$89,3,0)*0.475*44/12</f>
        <v>4.9992773770245833</v>
      </c>
      <c r="AC63" s="22">
        <f t="shared" si="3"/>
        <v>138.26627691149159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835</v>
      </c>
      <c r="AG63" s="12">
        <f>VLOOKUP(A63,'Données projet'!$A$61:$I$81,9,0)</f>
        <v>21</v>
      </c>
      <c r="AH63" s="12">
        <f t="array" ref="AH63">INDEX(AG:AG,MIN(IF(ISNUMBER(AG63:AG259),ROW(AG63:AG259),"")))</f>
        <v>21</v>
      </c>
      <c r="AI63" s="13">
        <f>IF('Données projet'!$A$62&gt;35,AI62+AH63-AQ62,IF(A63&lt;'Données projet'!$A$62,$AF$205^A63,IF(A63='Données projet'!$A$62,'Données projet'!$B$62,AI62+AH63-AQ62)))</f>
        <v>835.00000000000011</v>
      </c>
      <c r="AJ63" s="13">
        <f>AI63*VLOOKUP('Données projet'!$B$10,Paramètres!$A$1:$I$89,3,0)*VLOOKUP('Données projet'!$B$10,Paramètres!$A$1:$I$89,5,0)</f>
        <v>369.07000000000005</v>
      </c>
      <c r="AK63" s="13">
        <f t="shared" si="35"/>
        <v>85.477015853186089</v>
      </c>
      <c r="AL63" s="20">
        <f t="shared" si="4"/>
        <v>791.66938594429928</v>
      </c>
      <c r="AM63" s="59">
        <f t="shared" si="5"/>
        <v>1085.0027192776327</v>
      </c>
      <c r="AN63" s="59">
        <f ca="1">AVERAGE(OFFSET($AM$3,0,0,'Données projet'!$E$10+1,1))-AVERAGE(OFFSET($H$3,0,0,'Données projet'!$E$10+1,1))</f>
        <v>343.36665824683809</v>
      </c>
      <c r="AO63" s="59">
        <f t="shared" si="36"/>
        <v>342.89042241858527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45</v>
      </c>
      <c r="AR63" s="16">
        <f>IF(ISNA(VLOOKUP(A63,'Données projet'!$A$61:$I$81,5,0)),0%,VLOOKUP(A63,'Données projet'!$A$61:$I$81,5,0)*VLOOKUP('Données projet'!$B$10,Paramètres!$A$1:$I$89,7,0))</f>
        <v>0.33</v>
      </c>
      <c r="AS63" s="16">
        <f>IF(ISNA(VLOOKUP(A63,'Données projet'!$A$61:$I$81,6,0)),0%,VLOOKUP(A63,'Données projet'!$A$61:$I$81,6,0)*VLOOKUP('Données projet'!$B$10,Paramètres!$A$1:$I$89,7,0))</f>
        <v>0.12100000000000001</v>
      </c>
      <c r="AT63" s="16">
        <f>IF(ISNA(VLOOKUP(A63,'Données projet'!$A$61:$I$81,7,0)),0%,VLOOKUP(A63,'Données projet'!$A$61:$I$81,7,0))</f>
        <v>0.18</v>
      </c>
      <c r="AU63" s="21">
        <f>EXP(-LN(2)/35)*AU62+(1-EXP(-LN(2)/35))/(LN(2)/35)*AQ63*AR63*VLOOKUP('Données projet'!$B$10,Paramètres!$A$1:$I$89,3,0)*0.475*44/12</f>
        <v>68.032762595546473</v>
      </c>
      <c r="AV63" s="21">
        <f>EXP(-LN(2)/25)*AV62+(1-EXP(-LN(2)/25))/(LN(2)/25)*Calculateur!AQ63*Calculateur!AS63*VLOOKUP('Données projet'!$B$10,Paramètres!$A$1:$I$89,3,0)*0.475*44/12</f>
        <v>29.36524444624979</v>
      </c>
      <c r="AW63" s="21">
        <f>EXP(-LN(2)/2)*AW62+(1-EXP(-LN(2)/2))/(LN(2)/2)*AQ63*AT63*VLOOKUP('Données projet'!$B$10,Paramètres!$A$1:$I$89,3,0)*0.475*44/12</f>
        <v>5.0752193297573021</v>
      </c>
      <c r="AX63" s="21">
        <f t="shared" si="6"/>
        <v>102.47322637155357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353</v>
      </c>
      <c r="BB63" s="12">
        <f>VLOOKUP(A63,'Données projet'!$A$87:$I$107,9,0)</f>
        <v>9.4</v>
      </c>
      <c r="BC63" s="12">
        <f t="array" ref="BC63">INDEX(BB:BB,MIN(IF(ISNUMBER(BB63:BB259),ROW(BB63:BB259),"")))</f>
        <v>9.4</v>
      </c>
      <c r="BD63" s="12">
        <f>IF('Données projet'!$A$88&gt;35,BD62+BC63-BL62,IF(A63&lt;'Données projet'!$A$88,$BA$205^A63,IF(A63='Données projet'!$A$88,'Données projet'!$B$88,BD62+BC63-BL62)))</f>
        <v>352.99999999999989</v>
      </c>
      <c r="BE63" s="13">
        <f>BD63*VLOOKUP('Données projet'!$B$11,Paramètres!$A$1:$I$89,3,0)*VLOOKUP('Données projet'!$B$11,Paramètres!$A$1:$I$89,5,0)</f>
        <v>192.73799999999991</v>
      </c>
      <c r="BF63" s="13">
        <f t="shared" si="37"/>
        <v>48.144780790228275</v>
      </c>
      <c r="BG63" s="20">
        <f t="shared" si="7"/>
        <v>419.53750987631412</v>
      </c>
      <c r="BH63" s="59">
        <f t="shared" si="8"/>
        <v>712.87084320964743</v>
      </c>
      <c r="BI63" s="59">
        <f ca="1">AVERAGE(OFFSET($BH$3,0,0,'Données projet'!$E$11+1,1))-AVERAGE(OFFSET($H$3,0,0,'Données projet'!$E$11+1,1))</f>
        <v>191.96190073146369</v>
      </c>
      <c r="BJ63" s="59">
        <f t="shared" si="38"/>
        <v>224.0560835232115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27</v>
      </c>
      <c r="BM63" s="16">
        <f>IF(ISNA(VLOOKUP(A63,'Données projet'!$A$87:$I$107,5,0)),0%,VLOOKUP(A63,'Données projet'!$A$87:$I$107,5,0)*VLOOKUP('Données projet'!$B$11,Paramètres!$A$1:$I$89,7,0))</f>
        <v>0.36</v>
      </c>
      <c r="BN63" s="16">
        <f>IF(ISNA(VLOOKUP(A63,'Données projet'!$A$87:$I$107,6,0)),0%,VLOOKUP(A63,'Données projet'!$A$87:$I$107,6,0)*VLOOKUP('Données projet'!$B$11,Paramètres!$A$1:$I$89,7,0))</f>
        <v>0.13200000000000001</v>
      </c>
      <c r="BO63" s="16">
        <f>IF(ISNA(VLOOKUP(A63,'Données projet'!$A$87:$I$107,7,0)),0%,VLOOKUP(A63,'Données projet'!$A$87:$I$107,7,0))</f>
        <v>0.18</v>
      </c>
      <c r="BP63" s="21">
        <f>EXP(-LN(2)/35)*BP62+(1-EXP(-LN(2)/35))/(LN(2)/35)*BL63*BM63*VLOOKUP('Données projet'!$B$11,Paramètres!$A$1:$I$89,3,0)*0.475*44/12</f>
        <v>41.858066241625274</v>
      </c>
      <c r="BQ63" s="21">
        <f>EXP(-LN(2)/25)*BQ62+(1-EXP(-LN(2)/25))/(LN(2)/25)*Calculateur!BL63*Calculateur!BN63*VLOOKUP('Données projet'!$B$11,Paramètres!$A$1:$I$89,3,0)*0.475*44/12</f>
        <v>25.836932013998492</v>
      </c>
      <c r="BR63" s="21">
        <f>EXP(-LN(2)/2)*BR62+(1-EXP(-LN(2)/2))/(LN(2)/2)*BL63*BO63*VLOOKUP('Données projet'!$B$11,Paramètres!$A$1:$I$89,3,0)*0.475*44/12</f>
        <v>3.7089863958119973</v>
      </c>
      <c r="BS63" s="22">
        <f t="shared" si="9"/>
        <v>71.403984651435763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18.399999999999999</v>
      </c>
      <c r="N64" s="13">
        <f>IF('Données projet'!$A$36&gt;35,N63+M64-V63,IF(A64&lt;'Données projet'!$A$36,$K$205^A64,IF(A64='Données projet'!$A$36,'Données projet'!$B$36,N63+M64-V63)))</f>
        <v>706.39999999999964</v>
      </c>
      <c r="O64" s="13">
        <f>N64*VLOOKUP('Données projet'!$B$9,Paramètres!$A$1:$I$89,3,0)*VLOOKUP('Données projet'!$B$9,Paramètres!$A$1:$I$89,5,0)</f>
        <v>394.8775999999998</v>
      </c>
      <c r="P64" s="13">
        <f t="shared" si="33"/>
        <v>90.737399523944077</v>
      </c>
      <c r="Q64" s="20">
        <f t="shared" si="53"/>
        <v>845.77945750420213</v>
      </c>
      <c r="R64" s="59">
        <f t="shared" si="0"/>
        <v>1139.1127908375354</v>
      </c>
      <c r="S64" s="59">
        <f ca="1">AVERAGE(OFFSET($R$3,0,0,'Données projet'!$E$9+1,1))-AVERAGE(OFFSET($H$3,0,0,'Données projet'!$E$9+1,1))</f>
        <v>410.71046306000068</v>
      </c>
      <c r="T64" s="59">
        <f t="shared" si="34"/>
        <v>430.43167430170087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96.420010615856924</v>
      </c>
      <c r="AA64" s="21">
        <f>EXP(-LN(2)/25)*AA63+(1-EXP(-LN(2)/25))/(LN(2)/25)*Calculateur!V64*Calculateur!X64*VLOOKUP('Données projet'!$B$9,Paramètres!$A$1:$I$89,3,0)*0.475*44/12</f>
        <v>33.963587124837922</v>
      </c>
      <c r="AB64" s="21">
        <f>EXP(-LN(2)/2)*AB63+(1-EXP(-LN(2)/2))/(LN(2)/2)*V64*Y64*VLOOKUP('Données projet'!$B$9,Paramètres!$A$1:$I$89,3,0)*0.475*44/12</f>
        <v>3.5350229343265793</v>
      </c>
      <c r="AC64" s="22">
        <f t="shared" si="3"/>
        <v>133.91862067502143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17.600000000000001</v>
      </c>
      <c r="AI64" s="13">
        <f>IF('Données projet'!$A$62&gt;35,AI63+AH64-AQ63,IF(A64&lt;'Données projet'!$A$62,$AF$205^A64,IF(A64='Données projet'!$A$62,'Données projet'!$B$62,AI63+AH64-AQ63)))</f>
        <v>807.60000000000014</v>
      </c>
      <c r="AJ64" s="13">
        <f>AI64*VLOOKUP('Données projet'!$B$10,Paramètres!$A$1:$I$89,3,0)*VLOOKUP('Données projet'!$B$10,Paramètres!$A$1:$I$89,5,0)</f>
        <v>356.95920000000007</v>
      </c>
      <c r="AK64" s="13">
        <f t="shared" si="35"/>
        <v>82.993836678382237</v>
      </c>
      <c r="AL64" s="20">
        <f t="shared" si="4"/>
        <v>766.2515388815159</v>
      </c>
      <c r="AM64" s="59">
        <f t="shared" si="5"/>
        <v>1059.5848722148492</v>
      </c>
      <c r="AN64" s="59">
        <f ca="1">AVERAGE(OFFSET($AM$3,0,0,'Données projet'!$E$10+1,1))-AVERAGE(OFFSET($H$3,0,0,'Données projet'!$E$10+1,1))</f>
        <v>343.36665824683809</v>
      </c>
      <c r="AO64" s="59">
        <f t="shared" si="36"/>
        <v>342.89042241858527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66.698681616935616</v>
      </c>
      <c r="AV64" s="21">
        <f>EXP(-LN(2)/25)*AV63+(1-EXP(-LN(2)/25))/(LN(2)/25)*Calculateur!AQ64*Calculateur!AS64*VLOOKUP('Données projet'!$B$10,Paramètres!$A$1:$I$89,3,0)*0.475*44/12</f>
        <v>28.562250292616</v>
      </c>
      <c r="AW64" s="21">
        <f>EXP(-LN(2)/2)*AW63+(1-EXP(-LN(2)/2))/(LN(2)/2)*AQ64*AT64*VLOOKUP('Données projet'!$B$10,Paramètres!$A$1:$I$89,3,0)*0.475*44/12</f>
        <v>3.5887220040804331</v>
      </c>
      <c r="AX64" s="21">
        <f t="shared" si="6"/>
        <v>98.849653913632054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8.8000000000000007</v>
      </c>
      <c r="BD64" s="12">
        <f>IF('Données projet'!$A$88&gt;35,BD63+BC64-BL63,IF(A64&lt;'Données projet'!$A$88,$BA$205^A64,IF(A64='Données projet'!$A$88,'Données projet'!$B$88,BD63+BC64-BL63)))</f>
        <v>334.7999999999999</v>
      </c>
      <c r="BE64" s="13">
        <f>BD64*VLOOKUP('Données projet'!$B$11,Paramètres!$A$1:$I$89,3,0)*VLOOKUP('Données projet'!$B$11,Paramètres!$A$1:$I$89,5,0)</f>
        <v>182.80079999999995</v>
      </c>
      <c r="BF64" s="13">
        <f t="shared" si="37"/>
        <v>45.944751507471658</v>
      </c>
      <c r="BG64" s="20">
        <f t="shared" si="7"/>
        <v>398.39850220884637</v>
      </c>
      <c r="BH64" s="59">
        <f t="shared" si="8"/>
        <v>691.73183554217962</v>
      </c>
      <c r="BI64" s="59">
        <f ca="1">AVERAGE(OFFSET($BH$3,0,0,'Données projet'!$E$11+1,1))-AVERAGE(OFFSET($H$3,0,0,'Données projet'!$E$11+1,1))</f>
        <v>191.96190073146369</v>
      </c>
      <c r="BJ64" s="59">
        <f t="shared" si="38"/>
        <v>224.0560835232115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41.03725509352644</v>
      </c>
      <c r="BQ64" s="21">
        <f>EXP(-LN(2)/25)*BQ63+(1-EXP(-LN(2)/25))/(LN(2)/25)*Calculateur!BL64*Calculateur!BN64*VLOOKUP('Données projet'!$B$11,Paramètres!$A$1:$I$89,3,0)*0.475*44/12</f>
        <v>25.1304197493705</v>
      </c>
      <c r="BR64" s="21">
        <f>EXP(-LN(2)/2)*BR63+(1-EXP(-LN(2)/2))/(LN(2)/2)*BL64*BO64*VLOOKUP('Données projet'!$B$11,Paramètres!$A$1:$I$89,3,0)*0.475*44/12</f>
        <v>2.6226494318073157</v>
      </c>
      <c r="BS64" s="22">
        <f t="shared" si="9"/>
        <v>68.790324274704261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18.399999999999999</v>
      </c>
      <c r="N65" s="13">
        <f>IF('Données projet'!$A$36&gt;35,N64+M65-V64,IF(A65&lt;'Données projet'!$A$36,$K$205^A65,IF(A65='Données projet'!$A$36,'Données projet'!$B$36,N64+M65-V64)))</f>
        <v>724.79999999999961</v>
      </c>
      <c r="O65" s="13">
        <f>N65*VLOOKUP('Données projet'!$B$9,Paramètres!$A$1:$I$89,3,0)*VLOOKUP('Données projet'!$B$9,Paramètres!$A$1:$I$89,5,0)</f>
        <v>405.16319999999979</v>
      </c>
      <c r="P65" s="13">
        <f t="shared" si="33"/>
        <v>92.822642162296091</v>
      </c>
      <c r="Q65" s="20">
        <f t="shared" si="53"/>
        <v>867.32534176599859</v>
      </c>
      <c r="R65" s="59">
        <f t="shared" si="0"/>
        <v>1160.658675099332</v>
      </c>
      <c r="S65" s="59">
        <f ca="1">AVERAGE(OFFSET($R$3,0,0,'Données projet'!$E$9+1,1))-AVERAGE(OFFSET($H$3,0,0,'Données projet'!$E$9+1,1))</f>
        <v>410.71046306000068</v>
      </c>
      <c r="T65" s="59">
        <f t="shared" si="34"/>
        <v>430.43167430170087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94.529273018079394</v>
      </c>
      <c r="AA65" s="21">
        <f>EXP(-LN(2)/25)*AA64+(1-EXP(-LN(2)/25))/(LN(2)/25)*Calculateur!V65*Calculateur!X65*VLOOKUP('Données projet'!$B$9,Paramètres!$A$1:$I$89,3,0)*0.475*44/12</f>
        <v>33.034851048841809</v>
      </c>
      <c r="AB65" s="21">
        <f>EXP(-LN(2)/2)*AB64+(1-EXP(-LN(2)/2))/(LN(2)/2)*V65*Y65*VLOOKUP('Données projet'!$B$9,Paramètres!$A$1:$I$89,3,0)*0.475*44/12</f>
        <v>2.4996386885122917</v>
      </c>
      <c r="AC65" s="22">
        <f t="shared" si="3"/>
        <v>130.06376275543352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17.600000000000001</v>
      </c>
      <c r="AI65" s="13">
        <f>IF('Données projet'!$A$62&gt;35,AI64+AH65-AQ64,IF(A65&lt;'Données projet'!$A$62,$AF$205^A65,IF(A65='Données projet'!$A$62,'Données projet'!$B$62,AI64+AH65-AQ64)))</f>
        <v>825.20000000000016</v>
      </c>
      <c r="AJ65" s="13">
        <f>AI65*VLOOKUP('Données projet'!$B$10,Paramètres!$A$1:$I$89,3,0)*VLOOKUP('Données projet'!$B$10,Paramètres!$A$1:$I$89,5,0)</f>
        <v>364.73840000000013</v>
      </c>
      <c r="AK65" s="13">
        <f t="shared" si="35"/>
        <v>84.58997726602351</v>
      </c>
      <c r="AL65" s="20">
        <f t="shared" si="4"/>
        <v>782.5802570716578</v>
      </c>
      <c r="AM65" s="59">
        <f t="shared" si="5"/>
        <v>1075.9135904049911</v>
      </c>
      <c r="AN65" s="59">
        <f ca="1">AVERAGE(OFFSET($AM$3,0,0,'Données projet'!$E$10+1,1))-AVERAGE(OFFSET($H$3,0,0,'Données projet'!$E$10+1,1))</f>
        <v>343.36665824683809</v>
      </c>
      <c r="AO65" s="59">
        <f t="shared" si="36"/>
        <v>342.89042241858527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65.39076115260626</v>
      </c>
      <c r="AV65" s="21">
        <f>EXP(-LN(2)/25)*AV64+(1-EXP(-LN(2)/25))/(LN(2)/25)*Calculateur!AQ65*Calculateur!AS65*VLOOKUP('Données projet'!$B$10,Paramètres!$A$1:$I$89,3,0)*0.475*44/12</f>
        <v>27.781214056340954</v>
      </c>
      <c r="AW65" s="21">
        <f>EXP(-LN(2)/2)*AW64+(1-EXP(-LN(2)/2))/(LN(2)/2)*AQ65*AT65*VLOOKUP('Données projet'!$B$10,Paramètres!$A$1:$I$89,3,0)*0.475*44/12</f>
        <v>2.5376096648786515</v>
      </c>
      <c r="AX65" s="21">
        <f t="shared" si="6"/>
        <v>95.709584873825861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8.8000000000000007</v>
      </c>
      <c r="BD65" s="12">
        <f>IF('Données projet'!$A$88&gt;35,BD64+BC65-BL64,IF(A65&lt;'Données projet'!$A$88,$BA$205^A65,IF(A65='Données projet'!$A$88,'Données projet'!$B$88,BD64+BC65-BL64)))</f>
        <v>343.59999999999991</v>
      </c>
      <c r="BE65" s="13">
        <f>BD65*VLOOKUP('Données projet'!$B$11,Paramètres!$A$1:$I$89,3,0)*VLOOKUP('Données projet'!$B$11,Paramètres!$A$1:$I$89,5,0)</f>
        <v>187.60559999999995</v>
      </c>
      <c r="BF65" s="13">
        <f t="shared" si="37"/>
        <v>47.010194913493009</v>
      </c>
      <c r="BG65" s="20">
        <f t="shared" si="7"/>
        <v>408.62250947433353</v>
      </c>
      <c r="BH65" s="59">
        <f t="shared" si="8"/>
        <v>701.95584280766684</v>
      </c>
      <c r="BI65" s="59">
        <f ca="1">AVERAGE(OFFSET($BH$3,0,0,'Données projet'!$E$11+1,1))-AVERAGE(OFFSET($H$3,0,0,'Données projet'!$E$11+1,1))</f>
        <v>191.96190073146369</v>
      </c>
      <c r="BJ65" s="59">
        <f t="shared" si="38"/>
        <v>224.0560835232115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40.232539551396464</v>
      </c>
      <c r="BQ65" s="21">
        <f>EXP(-LN(2)/25)*BQ64+(1-EXP(-LN(2)/25))/(LN(2)/25)*Calculateur!BL65*Calculateur!BN65*VLOOKUP('Données projet'!$B$11,Paramètres!$A$1:$I$89,3,0)*0.475*44/12</f>
        <v>24.443227099772624</v>
      </c>
      <c r="BR65" s="21">
        <f>EXP(-LN(2)/2)*BR64+(1-EXP(-LN(2)/2))/(LN(2)/2)*BL65*BO65*VLOOKUP('Données projet'!$B$11,Paramètres!$A$1:$I$89,3,0)*0.475*44/12</f>
        <v>1.8544931979059989</v>
      </c>
      <c r="BS65" s="22">
        <f t="shared" si="9"/>
        <v>66.53025984907508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18.399999999999999</v>
      </c>
      <c r="N66" s="13">
        <f>IF('Données projet'!$A$36&gt;35,N65+M66-V65,IF(A66&lt;'Données projet'!$A$36,$K$205^A66,IF(A66='Données projet'!$A$36,'Données projet'!$B$36,N65+M66-V65)))</f>
        <v>743.19999999999959</v>
      </c>
      <c r="O66" s="13">
        <f>N66*VLOOKUP('Données projet'!$B$9,Paramètres!$A$1:$I$89,3,0)*VLOOKUP('Données projet'!$B$9,Paramètres!$A$1:$I$89,5,0)</f>
        <v>415.44879999999972</v>
      </c>
      <c r="P66" s="13">
        <f t="shared" si="33"/>
        <v>94.901731374242317</v>
      </c>
      <c r="Q66" s="20">
        <f t="shared" si="53"/>
        <v>888.86050881013819</v>
      </c>
      <c r="R66" s="59">
        <f t="shared" si="0"/>
        <v>1182.1938421434716</v>
      </c>
      <c r="S66" s="59">
        <f ca="1">AVERAGE(OFFSET($R$3,0,0,'Données projet'!$E$9+1,1))-AVERAGE(OFFSET($H$3,0,0,'Données projet'!$E$9+1,1))</f>
        <v>410.71046306000068</v>
      </c>
      <c r="T66" s="59">
        <f t="shared" si="34"/>
        <v>430.43167430170087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92.675611631358223</v>
      </c>
      <c r="AA66" s="21">
        <f>EXP(-LN(2)/25)*AA65+(1-EXP(-LN(2)/25))/(LN(2)/25)*Calculateur!V66*Calculateur!X66*VLOOKUP('Données projet'!$B$9,Paramètres!$A$1:$I$89,3,0)*0.475*44/12</f>
        <v>32.131511309683916</v>
      </c>
      <c r="AB66" s="21">
        <f>EXP(-LN(2)/2)*AB65+(1-EXP(-LN(2)/2))/(LN(2)/2)*V66*Y66*VLOOKUP('Données projet'!$B$9,Paramètres!$A$1:$I$89,3,0)*0.475*44/12</f>
        <v>1.7675114671632897</v>
      </c>
      <c r="AC66" s="22">
        <f t="shared" si="3"/>
        <v>126.57463440820543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17.600000000000001</v>
      </c>
      <c r="AI66" s="13">
        <f>IF('Données projet'!$A$62&gt;35,AI65+AH66-AQ65,IF(A66&lt;'Données projet'!$A$62,$AF$205^A66,IF(A66='Données projet'!$A$62,'Données projet'!$B$62,AI65+AH66-AQ65)))</f>
        <v>842.80000000000018</v>
      </c>
      <c r="AJ66" s="13">
        <f>AI66*VLOOKUP('Données projet'!$B$10,Paramètres!$A$1:$I$89,3,0)*VLOOKUP('Données projet'!$B$10,Paramètres!$A$1:$I$89,5,0)</f>
        <v>372.51760000000013</v>
      </c>
      <c r="AK66" s="13">
        <f t="shared" si="35"/>
        <v>86.182159875475833</v>
      </c>
      <c r="AL66" s="20">
        <f t="shared" si="4"/>
        <v>798.90208178312059</v>
      </c>
      <c r="AM66" s="59">
        <f t="shared" si="5"/>
        <v>1092.2354151164539</v>
      </c>
      <c r="AN66" s="59">
        <f ca="1">AVERAGE(OFFSET($AM$3,0,0,'Données projet'!$E$10+1,1))-AVERAGE(OFFSET($H$3,0,0,'Données projet'!$E$10+1,1))</f>
        <v>343.36665824683809</v>
      </c>
      <c r="AO66" s="59">
        <f t="shared" si="36"/>
        <v>342.89042241858527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64.108488210829691</v>
      </c>
      <c r="AV66" s="21">
        <f>EXP(-LN(2)/25)*AV65+(1-EXP(-LN(2)/25))/(LN(2)/25)*Calculateur!AQ66*Calculateur!AS66*VLOOKUP('Données projet'!$B$10,Paramètres!$A$1:$I$89,3,0)*0.475*44/12</f>
        <v>27.021535297019756</v>
      </c>
      <c r="AW66" s="21">
        <f>EXP(-LN(2)/2)*AW65+(1-EXP(-LN(2)/2))/(LN(2)/2)*AQ66*AT66*VLOOKUP('Données projet'!$B$10,Paramètres!$A$1:$I$89,3,0)*0.475*44/12</f>
        <v>1.794361002040217</v>
      </c>
      <c r="AX66" s="21">
        <f t="shared" si="6"/>
        <v>92.924384509889663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8.8000000000000007</v>
      </c>
      <c r="BD66" s="12">
        <f>IF('Données projet'!$A$88&gt;35,BD65+BC66-BL65,IF(A66&lt;'Données projet'!$A$88,$BA$205^A66,IF(A66='Données projet'!$A$88,'Données projet'!$B$88,BD65+BC66-BL65)))</f>
        <v>352.39999999999992</v>
      </c>
      <c r="BE66" s="13">
        <f>BD66*VLOOKUP('Données projet'!$B$11,Paramètres!$A$1:$I$89,3,0)*VLOOKUP('Données projet'!$B$11,Paramètres!$A$1:$I$89,5,0)</f>
        <v>192.41039999999995</v>
      </c>
      <c r="BF66" s="13">
        <f t="shared" si="37"/>
        <v>48.072466445896154</v>
      </c>
      <c r="BG66" s="20">
        <f t="shared" si="7"/>
        <v>418.84099239326906</v>
      </c>
      <c r="BH66" s="59">
        <f t="shared" si="8"/>
        <v>712.17432572660232</v>
      </c>
      <c r="BI66" s="59">
        <f ca="1">AVERAGE(OFFSET($BH$3,0,0,'Données projet'!$E$11+1,1))-AVERAGE(OFFSET($H$3,0,0,'Données projet'!$E$11+1,1))</f>
        <v>191.96190073146369</v>
      </c>
      <c r="BJ66" s="59">
        <f t="shared" si="38"/>
        <v>224.0560835232115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39.443603990219636</v>
      </c>
      <c r="BQ66" s="21">
        <f>EXP(-LN(2)/25)*BQ65+(1-EXP(-LN(2)/25))/(LN(2)/25)*Calculateur!BL66*Calculateur!BN66*VLOOKUP('Données projet'!$B$11,Paramètres!$A$1:$I$89,3,0)*0.475*44/12</f>
        <v>23.774825769315893</v>
      </c>
      <c r="BR66" s="21">
        <f>EXP(-LN(2)/2)*BR65+(1-EXP(-LN(2)/2))/(LN(2)/2)*BL66*BO66*VLOOKUP('Données projet'!$B$11,Paramètres!$A$1:$I$89,3,0)*0.475*44/12</f>
        <v>1.3113247159036581</v>
      </c>
      <c r="BS66" s="22">
        <f t="shared" si="9"/>
        <v>64.529754475439177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18.399999999999999</v>
      </c>
      <c r="N67" s="13">
        <f>IF('Données projet'!$A$36&gt;35,N66+M67-V66,IF(A67&lt;'Données projet'!$A$36,$K$205^A67,IF(A67='Données projet'!$A$36,'Données projet'!$B$36,N66+M67-V66)))</f>
        <v>761.59999999999957</v>
      </c>
      <c r="O67" s="13">
        <f>N67*VLOOKUP('Données projet'!$B$9,Paramètres!$A$1:$I$89,3,0)*VLOOKUP('Données projet'!$B$9,Paramètres!$A$1:$I$89,5,0)</f>
        <v>425.73439999999977</v>
      </c>
      <c r="P67" s="13">
        <f t="shared" si="33"/>
        <v>96.974837028375319</v>
      </c>
      <c r="Q67" s="20">
        <f t="shared" ref="Q67:Q98" si="54">(O67+P67)*0.475*44/12</f>
        <v>910.38525449108658</v>
      </c>
      <c r="R67" s="59">
        <f t="shared" ref="R67:R130" si="55">Q67+(I67+J67)*44/12</f>
        <v>1203.71858782442</v>
      </c>
      <c r="S67" s="59">
        <f ca="1">AVERAGE(OFFSET($R$3,0,0,'Données projet'!$E$9+1,1))-AVERAGE(OFFSET($H$3,0,0,'Données projet'!$E$9+1,1))</f>
        <v>410.71046306000068</v>
      </c>
      <c r="T67" s="59">
        <f t="shared" si="34"/>
        <v>430.43167430170087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90.858299413808851</v>
      </c>
      <c r="AA67" s="21">
        <f>EXP(-LN(2)/25)*AA66+(1-EXP(-LN(2)/25))/(LN(2)/25)*Calculateur!V67*Calculateur!X67*VLOOKUP('Données projet'!$B$9,Paramètres!$A$1:$I$89,3,0)*0.475*44/12</f>
        <v>31.252873443197867</v>
      </c>
      <c r="AB67" s="21">
        <f>EXP(-LN(2)/2)*AB66+(1-EXP(-LN(2)/2))/(LN(2)/2)*V67*Y67*VLOOKUP('Données projet'!$B$9,Paramètres!$A$1:$I$89,3,0)*0.475*44/12</f>
        <v>1.2498193442561458</v>
      </c>
      <c r="AC67" s="22">
        <f t="shared" si="3"/>
        <v>123.36099220126286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17.600000000000001</v>
      </c>
      <c r="AI67" s="13">
        <f>IF('Données projet'!$A$62&gt;35,AI66+AH67-AQ66,IF(A67&lt;'Données projet'!$A$62,$AF$205^A67,IF(A67='Données projet'!$A$62,'Données projet'!$B$62,AI66+AH67-AQ66)))</f>
        <v>860.4000000000002</v>
      </c>
      <c r="AJ67" s="13">
        <f>AI67*VLOOKUP('Données projet'!$B$10,Paramètres!$A$1:$I$89,3,0)*VLOOKUP('Données projet'!$B$10,Paramètres!$A$1:$I$89,5,0)</f>
        <v>380.29680000000019</v>
      </c>
      <c r="AK67" s="13">
        <f t="shared" si="35"/>
        <v>87.770476682637394</v>
      </c>
      <c r="AL67" s="20">
        <f t="shared" si="4"/>
        <v>815.21717355559383</v>
      </c>
      <c r="AM67" s="59">
        <f t="shared" si="5"/>
        <v>1108.5505068889272</v>
      </c>
      <c r="AN67" s="59">
        <f ca="1">AVERAGE(OFFSET($AM$3,0,0,'Données projet'!$E$10+1,1))-AVERAGE(OFFSET($H$3,0,0,'Données projet'!$E$10+1,1))</f>
        <v>343.36665824683809</v>
      </c>
      <c r="AO67" s="59">
        <f t="shared" si="36"/>
        <v>342.89042241858527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62.851359859332099</v>
      </c>
      <c r="AV67" s="21">
        <f>EXP(-LN(2)/25)*AV66+(1-EXP(-LN(2)/25))/(LN(2)/25)*Calculateur!AQ67*Calculateur!AS67*VLOOKUP('Données projet'!$B$10,Paramètres!$A$1:$I$89,3,0)*0.475*44/12</f>
        <v>26.282629993321969</v>
      </c>
      <c r="AW67" s="21">
        <f>EXP(-LN(2)/2)*AW66+(1-EXP(-LN(2)/2))/(LN(2)/2)*AQ67*AT67*VLOOKUP('Données projet'!$B$10,Paramètres!$A$1:$I$89,3,0)*0.475*44/12</f>
        <v>1.268804832439326</v>
      </c>
      <c r="AX67" s="21">
        <f t="shared" si="6"/>
        <v>90.402794685093397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8.8000000000000007</v>
      </c>
      <c r="BD67" s="12">
        <f>IF('Données projet'!$A$88&gt;35,BD66+BC67-BL66,IF(A67&lt;'Données projet'!$A$88,$BA$205^A67,IF(A67='Données projet'!$A$88,'Données projet'!$B$88,BD66+BC67-BL66)))</f>
        <v>361.19999999999993</v>
      </c>
      <c r="BE67" s="13">
        <f>BD67*VLOOKUP('Données projet'!$B$11,Paramètres!$A$1:$I$89,3,0)*VLOOKUP('Données projet'!$B$11,Paramètres!$A$1:$I$89,5,0)</f>
        <v>197.21519999999998</v>
      </c>
      <c r="BF67" s="13">
        <f t="shared" si="37"/>
        <v>49.131654421367656</v>
      </c>
      <c r="BG67" s="20">
        <f t="shared" si="7"/>
        <v>429.05410478388194</v>
      </c>
      <c r="BH67" s="59">
        <f t="shared" si="8"/>
        <v>722.3874381172152</v>
      </c>
      <c r="BI67" s="59">
        <f ca="1">AVERAGE(OFFSET($BH$3,0,0,'Données projet'!$E$11+1,1))-AVERAGE(OFFSET($H$3,0,0,'Données projet'!$E$11+1,1))</f>
        <v>191.96190073146369</v>
      </c>
      <c r="BJ67" s="59">
        <f t="shared" si="38"/>
        <v>224.0560835232115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38.670138974194309</v>
      </c>
      <c r="BQ67" s="21">
        <f>EXP(-LN(2)/25)*BQ66+(1-EXP(-LN(2)/25))/(LN(2)/25)*Calculateur!BL67*Calculateur!BN67*VLOOKUP('Données projet'!$B$11,Paramètres!$A$1:$I$89,3,0)*0.475*44/12</f>
        <v>23.1247019083902</v>
      </c>
      <c r="BR67" s="21">
        <f>EXP(-LN(2)/2)*BR66+(1-EXP(-LN(2)/2))/(LN(2)/2)*BL67*BO67*VLOOKUP('Données projet'!$B$11,Paramètres!$A$1:$I$89,3,0)*0.475*44/12</f>
        <v>0.92724659895299966</v>
      </c>
      <c r="BS67" s="22">
        <f t="shared" si="9"/>
        <v>62.722087481537507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780</v>
      </c>
      <c r="L68" s="12">
        <f>VLOOKUP(A68,'Données projet'!$A$35:$I$55,9,0)</f>
        <v>18.399999999999999</v>
      </c>
      <c r="M68" s="12">
        <f t="array" ref="M68">INDEX(L:L,MIN(IF(ISNUMBER(L68:L264),ROW(L68:L264),"")))</f>
        <v>18.399999999999999</v>
      </c>
      <c r="N68" s="13">
        <f>IF('Données projet'!$A$36&gt;35,N67+M68-V67,IF(A68&lt;'Données projet'!$A$36,$K$205^A68,IF(A68='Données projet'!$A$36,'Données projet'!$B$36,N67+M68-V67)))</f>
        <v>779.99999999999955</v>
      </c>
      <c r="O68" s="13">
        <f>N68*VLOOKUP('Données projet'!$B$9,Paramètres!$A$1:$I$89,3,0)*VLOOKUP('Données projet'!$B$9,Paramètres!$A$1:$I$89,5,0)</f>
        <v>436.01999999999975</v>
      </c>
      <c r="P68" s="13">
        <f t="shared" si="33"/>
        <v>99.04212031730809</v>
      </c>
      <c r="Q68" s="20">
        <f t="shared" si="54"/>
        <v>931.89985955264456</v>
      </c>
      <c r="R68" s="59">
        <f t="shared" si="55"/>
        <v>1225.2331928859778</v>
      </c>
      <c r="S68" s="59">
        <f ca="1">AVERAGE(OFFSET($R$3,0,0,'Données projet'!$E$9+1,1))-AVERAGE(OFFSET($H$3,0,0,'Données projet'!$E$9+1,1))</f>
        <v>410.71046306000068</v>
      </c>
      <c r="T68" s="59">
        <f t="shared" si="34"/>
        <v>430.43167430170087</v>
      </c>
      <c r="U68" s="15">
        <f>IF(ISNA(VLOOKUP(A68,'Données projet'!$A$35:$I$55,3,0)),0,VLOOKUP(A68,'Données projet'!$A$35:$I$55,3,0))</f>
        <v>12</v>
      </c>
      <c r="V68" s="15">
        <f>IF(ISNA(VLOOKUP(A68,'Données projet'!$A$35:$I$55,4,0)),0,VLOOKUP(A68,'Données projet'!$A$35:$I$55,4,0))</f>
        <v>780</v>
      </c>
      <c r="W68" s="16">
        <f>IF(ISNA(VLOOKUP(A68,'Données projet'!$A$35:$I$55,5,0)),0%,VLOOKUP(A68,'Données projet'!$A$35:$I$55,5,0)*VLOOKUP('Données projet'!$B$9,Paramètres!$A$1:$I$89,7,0))</f>
        <v>0.44000000000000006</v>
      </c>
      <c r="X68" s="16">
        <f>IF(ISNA(VLOOKUP(A68,'Données projet'!$A$35:$I$55,6,0)),0%,VLOOKUP(A68,'Données projet'!$A$35:$I$55,6,0)*VLOOKUP('Données projet'!$B$9,Paramètres!$A$1:$I$89,7,0))</f>
        <v>6.0500000000000005E-2</v>
      </c>
      <c r="Y68" s="16">
        <f>IF(ISNA(VLOOKUP(A68,'Données projet'!$A$35:$I$55,7,0)),0%,VLOOKUP(A68,'Données projet'!$A$35:$I$55,7,0))</f>
        <v>0.09</v>
      </c>
      <c r="Z68" s="21">
        <f>EXP(-LN(2)/35)*Z67+(1-EXP(-LN(2)/35))/(LN(2)/35)*V68*W68*VLOOKUP('Données projet'!$B$9,Paramètres!$A$1:$I$89,3,0)*0.475*44/12</f>
        <v>343.57642247912395</v>
      </c>
      <c r="AA68" s="21">
        <f>EXP(-LN(2)/25)*AA67+(1-EXP(-LN(2)/25))/(LN(2)/25)*Calculateur!V68*Calculateur!X68*VLOOKUP('Données projet'!$B$9,Paramètres!$A$1:$I$89,3,0)*0.475*44/12</f>
        <v>65.254200705411819</v>
      </c>
      <c r="AB68" s="21">
        <f>EXP(-LN(2)/2)*AB67+(1-EXP(-LN(2)/2))/(LN(2)/2)*V68*Y68*VLOOKUP('Données projet'!$B$9,Paramètres!$A$1:$I$89,3,0)*0.475*44/12</f>
        <v>45.314589106655717</v>
      </c>
      <c r="AC68" s="22">
        <f t="shared" ref="AC68:AC131" si="57">SUM(Z68:AB68)</f>
        <v>454.14521229119146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878</v>
      </c>
      <c r="AG68" s="12">
        <f>VLOOKUP(A68,'Données projet'!$A$61:$I$81,9,0)</f>
        <v>17.600000000000001</v>
      </c>
      <c r="AH68" s="12">
        <f t="array" ref="AH68">INDEX(AG:AG,MIN(IF(ISNUMBER(AG68:AG264),ROW(AG68:AG264),"")))</f>
        <v>17.600000000000001</v>
      </c>
      <c r="AI68" s="13">
        <f>IF('Données projet'!$A$62&gt;35,AI67+AH68-AQ67,IF(A68&lt;'Données projet'!$A$62,$AF$205^A68,IF(A68='Données projet'!$A$62,'Données projet'!$B$62,AI67+AH68-AQ67)))</f>
        <v>878.00000000000023</v>
      </c>
      <c r="AJ68" s="13">
        <f>AI68*VLOOKUP('Données projet'!$B$10,Paramètres!$A$1:$I$89,3,0)*VLOOKUP('Données projet'!$B$10,Paramètres!$A$1:$I$89,5,0)</f>
        <v>388.07600000000014</v>
      </c>
      <c r="AK68" s="13">
        <f t="shared" si="35"/>
        <v>89.355015876818186</v>
      </c>
      <c r="AL68" s="20">
        <f t="shared" ref="AL68:AL131" si="58">(AJ68+AK68)*0.475*44/12</f>
        <v>831.52568598545849</v>
      </c>
      <c r="AM68" s="59">
        <f t="shared" ref="AM68:AM131" si="59">AL68+(AD68+AE68)*44/12</f>
        <v>1124.8590193187918</v>
      </c>
      <c r="AN68" s="59">
        <f ca="1">AVERAGE(OFFSET($AM$3,0,0,'Données projet'!$E$10+1,1))-AVERAGE(OFFSET($H$3,0,0,'Données projet'!$E$10+1,1))</f>
        <v>343.36665824683809</v>
      </c>
      <c r="AO68" s="59">
        <f t="shared" si="36"/>
        <v>342.89042241858527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878</v>
      </c>
      <c r="AR68" s="16">
        <f>IF(ISNA(VLOOKUP(A68,'Données projet'!$A$61:$I$81,5,0)),0%,VLOOKUP(A68,'Données projet'!$A$61:$I$81,5,0)*VLOOKUP('Données projet'!$B$10,Paramètres!$A$1:$I$89,7,0))</f>
        <v>0.33</v>
      </c>
      <c r="AS68" s="16">
        <f>IF(ISNA(VLOOKUP(A68,'Données projet'!$A$61:$I$81,6,0)),0%,VLOOKUP(A68,'Données projet'!$A$61:$I$81,6,0)*VLOOKUP('Données projet'!$B$10,Paramètres!$A$1:$I$89,7,0))</f>
        <v>0.12100000000000001</v>
      </c>
      <c r="AT68" s="16">
        <f>IF(ISNA(VLOOKUP(A68,'Données projet'!$A$61:$I$81,7,0)),0%,VLOOKUP(A68,'Données projet'!$A$61:$I$81,7,0))</f>
        <v>0.18</v>
      </c>
      <c r="AU68" s="21">
        <f>EXP(-LN(2)/35)*AU67+(1-EXP(-LN(2)/35))/(LN(2)/35)*AQ68*AR68*VLOOKUP('Données projet'!$B$10,Paramètres!$A$1:$I$89,3,0)*0.475*44/12</f>
        <v>231.50546613905595</v>
      </c>
      <c r="AV68" s="21">
        <f>EXP(-LN(2)/25)*AV67+(1-EXP(-LN(2)/25))/(LN(2)/25)*Calculateur!AQ68*Calculateur!AS68*VLOOKUP('Données projet'!$B$10,Paramètres!$A$1:$I$89,3,0)*0.475*44/12</f>
        <v>87.610410891209483</v>
      </c>
      <c r="AW68" s="21">
        <f>EXP(-LN(2)/2)*AW67+(1-EXP(-LN(2)/2))/(LN(2)/2)*AQ68*AT68*VLOOKUP('Données projet'!$B$10,Paramètres!$A$1:$I$89,3,0)*0.475*44/12</f>
        <v>79.987773098098643</v>
      </c>
      <c r="AX68" s="21">
        <f t="shared" ref="AX68:AX131" si="60">SUM(AU68:AW68)</f>
        <v>399.10365012836405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370</v>
      </c>
      <c r="BB68" s="12">
        <f>VLOOKUP(A68,'Données projet'!$A$87:$I$107,9,0)</f>
        <v>8.8000000000000007</v>
      </c>
      <c r="BC68" s="12">
        <f t="array" ref="BC68">INDEX(BB:BB,MIN(IF(ISNUMBER(BB68:BB264),ROW(BB68:BB264),"")))</f>
        <v>8.8000000000000007</v>
      </c>
      <c r="BD68" s="12">
        <f>IF('Données projet'!$A$88&gt;35,BD67+BC68-BL67,IF(A68&lt;'Données projet'!$A$88,$BA$205^A68,IF(A68='Données projet'!$A$88,'Données projet'!$B$88,BD67+BC68-BL67)))</f>
        <v>369.99999999999994</v>
      </c>
      <c r="BE68" s="13">
        <f>BD68*VLOOKUP('Données projet'!$B$11,Paramètres!$A$1:$I$89,3,0)*VLOOKUP('Données projet'!$B$11,Paramètres!$A$1:$I$89,5,0)</f>
        <v>202.01999999999998</v>
      </c>
      <c r="BF68" s="13">
        <f t="shared" si="37"/>
        <v>50.187842607873506</v>
      </c>
      <c r="BG68" s="20">
        <f t="shared" ref="BG68:BG131" si="61">(BE68+BF68)*0.475*44/12</f>
        <v>439.2619925420463</v>
      </c>
      <c r="BH68" s="59">
        <f t="shared" ref="BH68:BH131" si="62">BG68+(AY68+AZ68)*44/12</f>
        <v>732.59532587537956</v>
      </c>
      <c r="BI68" s="59">
        <f ca="1">AVERAGE(OFFSET($BH$3,0,0,'Données projet'!$E$11+1,1))-AVERAGE(OFFSET($H$3,0,0,'Données projet'!$E$11+1,1))</f>
        <v>191.96190073146369</v>
      </c>
      <c r="BJ68" s="59">
        <f t="shared" si="38"/>
        <v>224.0560835232115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370</v>
      </c>
      <c r="BM68" s="16">
        <f>IF(ISNA(VLOOKUP(A68,'Données projet'!$A$87:$I$107,5,0)),0%,VLOOKUP(A68,'Données projet'!$A$87:$I$107,5,0)*VLOOKUP('Données projet'!$B$11,Paramètres!$A$1:$I$89,7,0))</f>
        <v>0.36</v>
      </c>
      <c r="BN68" s="16">
        <f>IF(ISNA(VLOOKUP(A68,'Données projet'!$A$87:$I$107,6,0)),0%,VLOOKUP(A68,'Données projet'!$A$87:$I$107,6,0)*VLOOKUP('Données projet'!$B$11,Paramètres!$A$1:$I$89,7,0))</f>
        <v>0.13200000000000001</v>
      </c>
      <c r="BO68" s="16">
        <f>IF(ISNA(VLOOKUP(A68,'Données projet'!$A$87:$I$107,7,0)),0%,VLOOKUP(A68,'Données projet'!$A$87:$I$107,7,0))</f>
        <v>0.18</v>
      </c>
      <c r="BP68" s="21">
        <f>EXP(-LN(2)/35)*BP67+(1-EXP(-LN(2)/35))/(LN(2)/35)*BL68*BM68*VLOOKUP('Données projet'!$B$11,Paramètres!$A$1:$I$89,3,0)*0.475*44/12</f>
        <v>134.38915959900868</v>
      </c>
      <c r="BQ68" s="21">
        <f>EXP(-LN(2)/25)*BQ67+(1-EXP(-LN(2)/25))/(LN(2)/25)*Calculateur!BL68*Calculateur!BN68*VLOOKUP('Données projet'!$B$11,Paramètres!$A$1:$I$89,3,0)*0.475*44/12</f>
        <v>57.728087568670688</v>
      </c>
      <c r="BR68" s="21">
        <f>EXP(-LN(2)/2)*BR67+(1-EXP(-LN(2)/2))/(LN(2)/2)*BL68*BO68*VLOOKUP('Données projet'!$B$11,Paramètres!$A$1:$I$89,3,0)*0.475*44/12</f>
        <v>41.82770473228522</v>
      </c>
      <c r="BS68" s="22">
        <f t="shared" ref="BS68:BS131" si="63">SUM(BP68:BR68)</f>
        <v>233.94495189996456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-4.5474735088646412E-13</v>
      </c>
      <c r="O69" s="13">
        <f>N69*VLOOKUP('Données projet'!$B$9,Paramètres!$A$1:$I$89,3,0)*VLOOKUP('Données projet'!$B$9,Paramètres!$A$1:$I$89,5,0)</f>
        <v>-2.5420376914553347E-13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410.71046306000068</v>
      </c>
      <c r="T69" s="59">
        <f t="shared" ref="T69:T132" si="88">$T$3</f>
        <v>430.43167430170087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336.83909839523363</v>
      </c>
      <c r="AA69" s="21">
        <f>EXP(-LN(2)/25)*AA68+(1-EXP(-LN(2)/25))/(LN(2)/25)*Calculateur!V69*Calculateur!X69*VLOOKUP('Données projet'!$B$9,Paramètres!$A$1:$I$89,3,0)*0.475*44/12</f>
        <v>63.469821155553056</v>
      </c>
      <c r="AB69" s="21">
        <f>EXP(-LN(2)/2)*AB68+(1-EXP(-LN(2)/2))/(LN(2)/2)*V69*Y69*VLOOKUP('Données projet'!$B$9,Paramètres!$A$1:$I$89,3,0)*0.475*44/12</f>
        <v>32.042253243998317</v>
      </c>
      <c r="AC69" s="22">
        <f t="shared" si="57"/>
        <v>432.35117279478504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2.2737367544323206E-13</v>
      </c>
      <c r="AJ69" s="13">
        <f>AI69*VLOOKUP('Données projet'!$B$10,Paramètres!$A$1:$I$89,3,0)*VLOOKUP('Données projet'!$B$10,Paramètres!$A$1:$I$89,5,0)</f>
        <v>1.0049916454590858E-13</v>
      </c>
      <c r="AK69" s="13">
        <f t="shared" ref="AK69:AK132" si="89">EXP(-1.0587+0.8836*LN(AJ69)+0.284)</f>
        <v>1.5089081593838289E-12</v>
      </c>
      <c r="AL69" s="20">
        <f t="shared" si="58"/>
        <v>2.8030510891776262E-12</v>
      </c>
      <c r="AM69" s="59">
        <f t="shared" si="59"/>
        <v>293.3333333333361</v>
      </c>
      <c r="AN69" s="59">
        <f ca="1">AVERAGE(OFFSET($AM$3,0,0,'Données projet'!$E$10+1,1))-AVERAGE(OFFSET($H$3,0,0,'Données projet'!$E$10+1,1))</f>
        <v>343.36665824683809</v>
      </c>
      <c r="AO69" s="59">
        <f t="shared" ref="AO69:AO132" si="90">$AO$3</f>
        <v>342.89042241858527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226.96578515246063</v>
      </c>
      <c r="AV69" s="21">
        <f>EXP(-LN(2)/25)*AV68+(1-EXP(-LN(2)/25))/(LN(2)/25)*Calculateur!AQ69*Calculateur!AS69*VLOOKUP('Données projet'!$B$10,Paramètres!$A$1:$I$89,3,0)*0.475*44/12</f>
        <v>85.214699598158091</v>
      </c>
      <c r="AW69" s="21">
        <f>EXP(-LN(2)/2)*AW68+(1-EXP(-LN(2)/2))/(LN(2)/2)*AQ69*AT69*VLOOKUP('Données projet'!$B$10,Paramètres!$A$1:$I$89,3,0)*0.475*44/12</f>
        <v>56.559896769676456</v>
      </c>
      <c r="AX69" s="21">
        <f t="shared" si="60"/>
        <v>368.74038152029516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-5.6843418860808015E-14</v>
      </c>
      <c r="BE69" s="13">
        <f>BD69*VLOOKUP('Données projet'!$B$11,Paramètres!$A$1:$I$89,3,0)*VLOOKUP('Données projet'!$B$11,Paramètres!$A$1:$I$89,5,0)</f>
        <v>-3.1036506698001178E-14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191.96190073146369</v>
      </c>
      <c r="BJ69" s="59">
        <f t="shared" ref="BJ69:BJ132" si="92">$BJ$3</f>
        <v>224.0560835232115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131.75387014856568</v>
      </c>
      <c r="BQ69" s="21">
        <f>EXP(-LN(2)/25)*BQ68+(1-EXP(-LN(2)/25))/(LN(2)/25)*Calculateur!BL69*Calculateur!BN69*VLOOKUP('Données projet'!$B$11,Paramètres!$A$1:$I$89,3,0)*0.475*44/12</f>
        <v>56.149509978317205</v>
      </c>
      <c r="BR69" s="21">
        <f>EXP(-LN(2)/2)*BR68+(1-EXP(-LN(2)/2))/(LN(2)/2)*BL69*BO69*VLOOKUP('Données projet'!$B$11,Paramètres!$A$1:$I$89,3,0)*0.475*44/12</f>
        <v>29.576653657667524</v>
      </c>
      <c r="BS69" s="22">
        <f t="shared" si="63"/>
        <v>217.48003378455041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-4.5474735088646412E-13</v>
      </c>
      <c r="O70" s="13">
        <f>N70*VLOOKUP('Données projet'!$B$9,Paramètres!$A$1:$I$89,3,0)*VLOOKUP('Données projet'!$B$9,Paramètres!$A$1:$I$89,5,0)</f>
        <v>-2.5420376914553347E-13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410.71046306000068</v>
      </c>
      <c r="T70" s="59">
        <f t="shared" si="88"/>
        <v>430.43167430170087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330.23388912726648</v>
      </c>
      <c r="AA70" s="21">
        <f>EXP(-LN(2)/25)*AA69+(1-EXP(-LN(2)/25))/(LN(2)/25)*Calculateur!V70*Calculateur!X70*VLOOKUP('Données projet'!$B$9,Paramètres!$A$1:$I$89,3,0)*0.475*44/12</f>
        <v>61.734235558321629</v>
      </c>
      <c r="AB70" s="21">
        <f>EXP(-LN(2)/2)*AB69+(1-EXP(-LN(2)/2))/(LN(2)/2)*V70*Y70*VLOOKUP('Données projet'!$B$9,Paramètres!$A$1:$I$89,3,0)*0.475*44/12</f>
        <v>22.657294553327862</v>
      </c>
      <c r="AC70" s="22">
        <f t="shared" si="57"/>
        <v>414.62541923891598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2.2737367544323206E-13</v>
      </c>
      <c r="AJ70" s="13">
        <f>AI70*VLOOKUP('Données projet'!$B$10,Paramètres!$A$1:$I$89,3,0)*VLOOKUP('Données projet'!$B$10,Paramètres!$A$1:$I$89,5,0)</f>
        <v>1.0049916454590858E-13</v>
      </c>
      <c r="AK70" s="13">
        <f t="shared" si="89"/>
        <v>1.5089081593838289E-12</v>
      </c>
      <c r="AL70" s="20">
        <f t="shared" si="58"/>
        <v>2.8030510891776262E-12</v>
      </c>
      <c r="AM70" s="59">
        <f t="shared" si="59"/>
        <v>293.3333333333361</v>
      </c>
      <c r="AN70" s="59">
        <f ca="1">AVERAGE(OFFSET($AM$3,0,0,'Données projet'!$E$10+1,1))-AVERAGE(OFFSET($H$3,0,0,'Données projet'!$E$10+1,1))</f>
        <v>343.36665824683809</v>
      </c>
      <c r="AO70" s="59">
        <f t="shared" si="90"/>
        <v>342.89042241858527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222.51512454108044</v>
      </c>
      <c r="AV70" s="21">
        <f>EXP(-LN(2)/25)*AV69+(1-EXP(-LN(2)/25))/(LN(2)/25)*Calculateur!AQ70*Calculateur!AS70*VLOOKUP('Données projet'!$B$10,Paramètres!$A$1:$I$89,3,0)*0.475*44/12</f>
        <v>82.884499156400167</v>
      </c>
      <c r="AW70" s="21">
        <f>EXP(-LN(2)/2)*AW69+(1-EXP(-LN(2)/2))/(LN(2)/2)*AQ70*AT70*VLOOKUP('Données projet'!$B$10,Paramètres!$A$1:$I$89,3,0)*0.475*44/12</f>
        <v>39.993886549049328</v>
      </c>
      <c r="AX70" s="21">
        <f t="shared" si="60"/>
        <v>345.3935102465299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-5.6843418860808015E-14</v>
      </c>
      <c r="BE70" s="13">
        <f>BD70*VLOOKUP('Données projet'!$B$11,Paramètres!$A$1:$I$89,3,0)*VLOOKUP('Données projet'!$B$11,Paramètres!$A$1:$I$89,5,0)</f>
        <v>-3.1036506698001178E-14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191.96190073146369</v>
      </c>
      <c r="BJ70" s="59">
        <f t="shared" si="92"/>
        <v>224.0560835232115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129.17025711687802</v>
      </c>
      <c r="BQ70" s="21">
        <f>EXP(-LN(2)/25)*BQ69+(1-EXP(-LN(2)/25))/(LN(2)/25)*Calculateur!BL70*Calculateur!BN70*VLOOKUP('Données projet'!$B$11,Paramètres!$A$1:$I$89,3,0)*0.475*44/12</f>
        <v>54.614098675185723</v>
      </c>
      <c r="BR70" s="21">
        <f>EXP(-LN(2)/2)*BR69+(1-EXP(-LN(2)/2))/(LN(2)/2)*BL70*BO70*VLOOKUP('Données projet'!$B$11,Paramètres!$A$1:$I$89,3,0)*0.475*44/12</f>
        <v>20.913852366142613</v>
      </c>
      <c r="BS70" s="22">
        <f t="shared" si="63"/>
        <v>204.69820815820634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-4.5474735088646412E-13</v>
      </c>
      <c r="O71" s="13">
        <f>N71*VLOOKUP('Données projet'!$B$9,Paramètres!$A$1:$I$89,3,0)*VLOOKUP('Données projet'!$B$9,Paramètres!$A$1:$I$89,5,0)</f>
        <v>-2.5420376914553347E-13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410.71046306000068</v>
      </c>
      <c r="T71" s="59">
        <f t="shared" si="88"/>
        <v>430.43167430170087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323.7582039842643</v>
      </c>
      <c r="AA71" s="21">
        <f>EXP(-LN(2)/25)*AA70+(1-EXP(-LN(2)/25))/(LN(2)/25)*Calculateur!V71*Calculateur!X71*VLOOKUP('Données projet'!$B$9,Paramètres!$A$1:$I$89,3,0)*0.475*44/12</f>
        <v>60.046109640516974</v>
      </c>
      <c r="AB71" s="21">
        <f>EXP(-LN(2)/2)*AB70+(1-EXP(-LN(2)/2))/(LN(2)/2)*V71*Y71*VLOOKUP('Données projet'!$B$9,Paramètres!$A$1:$I$89,3,0)*0.475*44/12</f>
        <v>16.021126621999162</v>
      </c>
      <c r="AC71" s="22">
        <f t="shared" si="57"/>
        <v>399.82544024678043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2.2737367544323206E-13</v>
      </c>
      <c r="AJ71" s="13">
        <f>AI71*VLOOKUP('Données projet'!$B$10,Paramètres!$A$1:$I$89,3,0)*VLOOKUP('Données projet'!$B$10,Paramètres!$A$1:$I$89,5,0)</f>
        <v>1.0049916454590858E-13</v>
      </c>
      <c r="AK71" s="13">
        <f t="shared" si="89"/>
        <v>1.5089081593838289E-12</v>
      </c>
      <c r="AL71" s="20">
        <f t="shared" si="58"/>
        <v>2.8030510891776262E-12</v>
      </c>
      <c r="AM71" s="59">
        <f t="shared" si="59"/>
        <v>293.3333333333361</v>
      </c>
      <c r="AN71" s="59">
        <f ca="1">AVERAGE(OFFSET($AM$3,0,0,'Données projet'!$E$10+1,1))-AVERAGE(OFFSET($H$3,0,0,'Données projet'!$E$10+1,1))</f>
        <v>343.36665824683809</v>
      </c>
      <c r="AO71" s="59">
        <f t="shared" si="90"/>
        <v>342.89042241858527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218.15173866965449</v>
      </c>
      <c r="AV71" s="21">
        <f>EXP(-LN(2)/25)*AV70+(1-EXP(-LN(2)/25))/(LN(2)/25)*Calculateur!AQ71*Calculateur!AS71*VLOOKUP('Données projet'!$B$10,Paramètres!$A$1:$I$89,3,0)*0.475*44/12</f>
        <v>80.618018168262026</v>
      </c>
      <c r="AW71" s="21">
        <f>EXP(-LN(2)/2)*AW70+(1-EXP(-LN(2)/2))/(LN(2)/2)*AQ71*AT71*VLOOKUP('Données projet'!$B$10,Paramètres!$A$1:$I$89,3,0)*0.475*44/12</f>
        <v>28.279948384838232</v>
      </c>
      <c r="AX71" s="21">
        <f t="shared" si="60"/>
        <v>327.04970522275477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-5.6843418860808015E-14</v>
      </c>
      <c r="BE71" s="13">
        <f>BD71*VLOOKUP('Données projet'!$B$11,Paramètres!$A$1:$I$89,3,0)*VLOOKUP('Données projet'!$B$11,Paramètres!$A$1:$I$89,5,0)</f>
        <v>-3.1036506698001178E-14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191.96190073146369</v>
      </c>
      <c r="BJ71" s="59">
        <f t="shared" si="92"/>
        <v>224.0560835232115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126.6373071608934</v>
      </c>
      <c r="BQ71" s="21">
        <f>EXP(-LN(2)/25)*BQ70+(1-EXP(-LN(2)/25))/(LN(2)/25)*Calculateur!BL71*Calculateur!BN71*VLOOKUP('Données projet'!$B$11,Paramètres!$A$1:$I$89,3,0)*0.475*44/12</f>
        <v>53.120673274882144</v>
      </c>
      <c r="BR71" s="21">
        <f>EXP(-LN(2)/2)*BR70+(1-EXP(-LN(2)/2))/(LN(2)/2)*BL71*BO71*VLOOKUP('Données projet'!$B$11,Paramètres!$A$1:$I$89,3,0)*0.475*44/12</f>
        <v>14.788326828833766</v>
      </c>
      <c r="BS71" s="22">
        <f t="shared" si="63"/>
        <v>194.54630726460931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-4.5474735088646412E-13</v>
      </c>
      <c r="O72" s="13">
        <f>N72*VLOOKUP('Données projet'!$B$9,Paramètres!$A$1:$I$89,3,0)*VLOOKUP('Données projet'!$B$9,Paramètres!$A$1:$I$89,5,0)</f>
        <v>-2.5420376914553347E-13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410.71046306000068</v>
      </c>
      <c r="T72" s="59">
        <f t="shared" si="88"/>
        <v>430.43167430170087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317.40950307713848</v>
      </c>
      <c r="AA72" s="21">
        <f>EXP(-LN(2)/25)*AA71+(1-EXP(-LN(2)/25))/(LN(2)/25)*Calculateur!V72*Calculateur!X72*VLOOKUP('Données projet'!$B$9,Paramètres!$A$1:$I$89,3,0)*0.475*44/12</f>
        <v>58.404145614709371</v>
      </c>
      <c r="AB72" s="21">
        <f>EXP(-LN(2)/2)*AB71+(1-EXP(-LN(2)/2))/(LN(2)/2)*V72*Y72*VLOOKUP('Données projet'!$B$9,Paramètres!$A$1:$I$89,3,0)*0.475*44/12</f>
        <v>11.328647276663933</v>
      </c>
      <c r="AC72" s="22">
        <f t="shared" si="57"/>
        <v>387.1422959685118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2.2737367544323206E-13</v>
      </c>
      <c r="AJ72" s="13">
        <f>AI72*VLOOKUP('Données projet'!$B$10,Paramètres!$A$1:$I$89,3,0)*VLOOKUP('Données projet'!$B$10,Paramètres!$A$1:$I$89,5,0)</f>
        <v>1.0049916454590858E-13</v>
      </c>
      <c r="AK72" s="13">
        <f t="shared" si="89"/>
        <v>1.5089081593838289E-12</v>
      </c>
      <c r="AL72" s="20">
        <f t="shared" si="58"/>
        <v>2.8030510891776262E-12</v>
      </c>
      <c r="AM72" s="59">
        <f t="shared" si="59"/>
        <v>293.3333333333361</v>
      </c>
      <c r="AN72" s="59">
        <f ca="1">AVERAGE(OFFSET($AM$3,0,0,'Données projet'!$E$10+1,1))-AVERAGE(OFFSET($H$3,0,0,'Données projet'!$E$10+1,1))</f>
        <v>343.36665824683809</v>
      </c>
      <c r="AO72" s="59">
        <f t="shared" si="90"/>
        <v>342.89042241858527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213.87391613376462</v>
      </c>
      <c r="AV72" s="21">
        <f>EXP(-LN(2)/25)*AV71+(1-EXP(-LN(2)/25))/(LN(2)/25)*Calculateur!AQ72*Calculateur!AS72*VLOOKUP('Données projet'!$B$10,Paramètres!$A$1:$I$89,3,0)*0.475*44/12</f>
        <v>78.413514221933582</v>
      </c>
      <c r="AW72" s="21">
        <f>EXP(-LN(2)/2)*AW71+(1-EXP(-LN(2)/2))/(LN(2)/2)*AQ72*AT72*VLOOKUP('Données projet'!$B$10,Paramètres!$A$1:$I$89,3,0)*0.475*44/12</f>
        <v>19.996943274524668</v>
      </c>
      <c r="AX72" s="21">
        <f t="shared" si="60"/>
        <v>312.28437363022289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-5.6843418860808015E-14</v>
      </c>
      <c r="BE72" s="13">
        <f>BD72*VLOOKUP('Données projet'!$B$11,Paramètres!$A$1:$I$89,3,0)*VLOOKUP('Données projet'!$B$11,Paramètres!$A$1:$I$89,5,0)</f>
        <v>-3.1036506698001178E-14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191.96190073146369</v>
      </c>
      <c r="BJ72" s="59">
        <f t="shared" si="92"/>
        <v>224.0560835232115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124.15402680859872</v>
      </c>
      <c r="BQ72" s="21">
        <f>EXP(-LN(2)/25)*BQ71+(1-EXP(-LN(2)/25))/(LN(2)/25)*Calculateur!BL72*Calculateur!BN72*VLOOKUP('Données projet'!$B$11,Paramètres!$A$1:$I$89,3,0)*0.475*44/12</f>
        <v>51.668085670685691</v>
      </c>
      <c r="BR72" s="21">
        <f>EXP(-LN(2)/2)*BR71+(1-EXP(-LN(2)/2))/(LN(2)/2)*BL72*BO72*VLOOKUP('Données projet'!$B$11,Paramètres!$A$1:$I$89,3,0)*0.475*44/12</f>
        <v>10.456926183071309</v>
      </c>
      <c r="BS72" s="22">
        <f t="shared" si="63"/>
        <v>186.27903866235573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-4.5474735088646412E-13</v>
      </c>
      <c r="O73" s="13">
        <f>N73*VLOOKUP('Données projet'!$B$9,Paramètres!$A$1:$I$89,3,0)*VLOOKUP('Données projet'!$B$9,Paramètres!$A$1:$I$89,5,0)</f>
        <v>-2.5420376914553347E-13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410.71046306000068</v>
      </c>
      <c r="T73" s="59">
        <f t="shared" si="88"/>
        <v>430.43167430170087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311.18529632247618</v>
      </c>
      <c r="AA73" s="21">
        <f>EXP(-LN(2)/25)*AA72+(1-EXP(-LN(2)/25))/(LN(2)/25)*Calculateur!V73*Calculateur!X73*VLOOKUP('Données projet'!$B$9,Paramètres!$A$1:$I$89,3,0)*0.475*44/12</f>
        <v>56.807081181534613</v>
      </c>
      <c r="AB73" s="21">
        <f>EXP(-LN(2)/2)*AB72+(1-EXP(-LN(2)/2))/(LN(2)/2)*V73*Y73*VLOOKUP('Données projet'!$B$9,Paramètres!$A$1:$I$89,3,0)*0.475*44/12</f>
        <v>8.0105633109995811</v>
      </c>
      <c r="AC73" s="22">
        <f t="shared" si="57"/>
        <v>376.00294081501039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2.2737367544323206E-13</v>
      </c>
      <c r="AJ73" s="13">
        <f>AI73*VLOOKUP('Données projet'!$B$10,Paramètres!$A$1:$I$89,3,0)*VLOOKUP('Données projet'!$B$10,Paramètres!$A$1:$I$89,5,0)</f>
        <v>1.0049916454590858E-13</v>
      </c>
      <c r="AK73" s="13">
        <f t="shared" si="89"/>
        <v>1.5089081593838289E-12</v>
      </c>
      <c r="AL73" s="20">
        <f t="shared" si="58"/>
        <v>2.8030510891776262E-12</v>
      </c>
      <c r="AM73" s="59">
        <f t="shared" si="59"/>
        <v>293.3333333333361</v>
      </c>
      <c r="AN73" s="59">
        <f ca="1">AVERAGE(OFFSET($AM$3,0,0,'Données projet'!$E$10+1,1))-AVERAGE(OFFSET($H$3,0,0,'Données projet'!$E$10+1,1))</f>
        <v>343.36665824683809</v>
      </c>
      <c r="AO73" s="59">
        <f t="shared" si="90"/>
        <v>342.89042241858527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209.67997908858945</v>
      </c>
      <c r="AV73" s="21">
        <f>EXP(-LN(2)/25)*AV72+(1-EXP(-LN(2)/25))/(LN(2)/25)*Calculateur!AQ73*Calculateur!AS73*VLOOKUP('Données projet'!$B$10,Paramètres!$A$1:$I$89,3,0)*0.475*44/12</f>
        <v>76.269292551947316</v>
      </c>
      <c r="AW73" s="21">
        <f>EXP(-LN(2)/2)*AW72+(1-EXP(-LN(2)/2))/(LN(2)/2)*AQ73*AT73*VLOOKUP('Données projet'!$B$10,Paramètres!$A$1:$I$89,3,0)*0.475*44/12</f>
        <v>14.139974192419118</v>
      </c>
      <c r="AX73" s="21">
        <f t="shared" si="60"/>
        <v>300.0892458329559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-5.6843418860808015E-14</v>
      </c>
      <c r="BE73" s="13">
        <f>BD73*VLOOKUP('Données projet'!$B$11,Paramètres!$A$1:$I$89,3,0)*VLOOKUP('Données projet'!$B$11,Paramètres!$A$1:$I$89,5,0)</f>
        <v>-3.1036506698001178E-14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191.96190073146369</v>
      </c>
      <c r="BJ73" s="59">
        <f t="shared" si="92"/>
        <v>224.0560835232115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121.71944206936108</v>
      </c>
      <c r="BQ73" s="21">
        <f>EXP(-LN(2)/25)*BQ72+(1-EXP(-LN(2)/25))/(LN(2)/25)*Calculateur!BL73*Calculateur!BN73*VLOOKUP('Données projet'!$B$11,Paramètres!$A$1:$I$89,3,0)*0.475*44/12</f>
        <v>50.255219150914257</v>
      </c>
      <c r="BR73" s="21">
        <f>EXP(-LN(2)/2)*BR72+(1-EXP(-LN(2)/2))/(LN(2)/2)*BL73*BO73*VLOOKUP('Données projet'!$B$11,Paramètres!$A$1:$I$89,3,0)*0.475*44/12</f>
        <v>7.3941634144168837</v>
      </c>
      <c r="BS73" s="22">
        <f t="shared" si="63"/>
        <v>179.3688246346922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-4.5474735088646412E-13</v>
      </c>
      <c r="O74" s="13">
        <f>N74*VLOOKUP('Données projet'!$B$9,Paramètres!$A$1:$I$89,3,0)*VLOOKUP('Données projet'!$B$9,Paramètres!$A$1:$I$89,5,0)</f>
        <v>-2.5420376914553347E-13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410.71046306000068</v>
      </c>
      <c r="T74" s="59">
        <f t="shared" si="88"/>
        <v>430.43167430170087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305.08314246588156</v>
      </c>
      <c r="AA74" s="21">
        <f>EXP(-LN(2)/25)*AA73+(1-EXP(-LN(2)/25))/(LN(2)/25)*Calculateur!V74*Calculateur!X74*VLOOKUP('Données projet'!$B$9,Paramètres!$A$1:$I$89,3,0)*0.475*44/12</f>
        <v>55.253688559270984</v>
      </c>
      <c r="AB74" s="21">
        <f>EXP(-LN(2)/2)*AB73+(1-EXP(-LN(2)/2))/(LN(2)/2)*V74*Y74*VLOOKUP('Données projet'!$B$9,Paramètres!$A$1:$I$89,3,0)*0.475*44/12</f>
        <v>5.6643236383319664</v>
      </c>
      <c r="AC74" s="22">
        <f t="shared" si="57"/>
        <v>366.0011546634845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2.2737367544323206E-13</v>
      </c>
      <c r="AJ74" s="13">
        <f>AI74*VLOOKUP('Données projet'!$B$10,Paramètres!$A$1:$I$89,3,0)*VLOOKUP('Données projet'!$B$10,Paramètres!$A$1:$I$89,5,0)</f>
        <v>1.0049916454590858E-13</v>
      </c>
      <c r="AK74" s="13">
        <f t="shared" si="89"/>
        <v>1.5089081593838289E-12</v>
      </c>
      <c r="AL74" s="20">
        <f t="shared" si="58"/>
        <v>2.8030510891776262E-12</v>
      </c>
      <c r="AM74" s="59">
        <f t="shared" si="59"/>
        <v>293.3333333333361</v>
      </c>
      <c r="AN74" s="59">
        <f ca="1">AVERAGE(OFFSET($AM$3,0,0,'Données projet'!$E$10+1,1))-AVERAGE(OFFSET($H$3,0,0,'Données projet'!$E$10+1,1))</f>
        <v>343.36665824683809</v>
      </c>
      <c r="AO74" s="59">
        <f t="shared" si="90"/>
        <v>342.89042241858527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205.56828259082116</v>
      </c>
      <c r="AV74" s="21">
        <f>EXP(-LN(2)/25)*AV73+(1-EXP(-LN(2)/25))/(LN(2)/25)*Calculateur!AQ74*Calculateur!AS74*VLOOKUP('Données projet'!$B$10,Paramètres!$A$1:$I$89,3,0)*0.475*44/12</f>
        <v>74.183704736286543</v>
      </c>
      <c r="AW74" s="21">
        <f>EXP(-LN(2)/2)*AW73+(1-EXP(-LN(2)/2))/(LN(2)/2)*AQ74*AT74*VLOOKUP('Données projet'!$B$10,Paramètres!$A$1:$I$89,3,0)*0.475*44/12</f>
        <v>9.9984716372623339</v>
      </c>
      <c r="AX74" s="21">
        <f t="shared" si="60"/>
        <v>289.75045896437007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-5.6843418860808015E-14</v>
      </c>
      <c r="BE74" s="13">
        <f>BD74*VLOOKUP('Données projet'!$B$11,Paramètres!$A$1:$I$89,3,0)*VLOOKUP('Données projet'!$B$11,Paramètres!$A$1:$I$89,5,0)</f>
        <v>-3.1036506698001178E-14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191.96190073146369</v>
      </c>
      <c r="BJ74" s="59">
        <f t="shared" si="92"/>
        <v>224.0560835232115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119.33259805190983</v>
      </c>
      <c r="BQ74" s="21">
        <f>EXP(-LN(2)/25)*BQ73+(1-EXP(-LN(2)/25))/(LN(2)/25)*Calculateur!BL74*Calculateur!BN74*VLOOKUP('Données projet'!$B$11,Paramètres!$A$1:$I$89,3,0)*0.475*44/12</f>
        <v>48.880987540425394</v>
      </c>
      <c r="BR74" s="21">
        <f>EXP(-LN(2)/2)*BR73+(1-EXP(-LN(2)/2))/(LN(2)/2)*BL74*BO74*VLOOKUP('Données projet'!$B$11,Paramètres!$A$1:$I$89,3,0)*0.475*44/12</f>
        <v>5.2284630915356551</v>
      </c>
      <c r="BS74" s="22">
        <f t="shared" si="63"/>
        <v>173.44204868387087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-4.5474735088646412E-13</v>
      </c>
      <c r="O75" s="13">
        <f>N75*VLOOKUP('Données projet'!$B$9,Paramètres!$A$1:$I$89,3,0)*VLOOKUP('Données projet'!$B$9,Paramètres!$A$1:$I$89,5,0)</f>
        <v>-2.5420376914553347E-13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410.71046306000068</v>
      </c>
      <c r="T75" s="59">
        <f t="shared" si="88"/>
        <v>430.43167430170087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299.10064812446842</v>
      </c>
      <c r="AA75" s="21">
        <f>EXP(-LN(2)/25)*AA74+(1-EXP(-LN(2)/25))/(LN(2)/25)*Calculateur!V75*Calculateur!X75*VLOOKUP('Données projet'!$B$9,Paramètres!$A$1:$I$89,3,0)*0.475*44/12</f>
        <v>53.742773539952523</v>
      </c>
      <c r="AB75" s="21">
        <f>EXP(-LN(2)/2)*AB74+(1-EXP(-LN(2)/2))/(LN(2)/2)*V75*Y75*VLOOKUP('Données projet'!$B$9,Paramètres!$A$1:$I$89,3,0)*0.475*44/12</f>
        <v>4.0052816554997905</v>
      </c>
      <c r="AC75" s="22">
        <f t="shared" si="57"/>
        <v>356.84870331992073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2.2737367544323206E-13</v>
      </c>
      <c r="AJ75" s="13">
        <f>AI75*VLOOKUP('Données projet'!$B$10,Paramètres!$A$1:$I$89,3,0)*VLOOKUP('Données projet'!$B$10,Paramètres!$A$1:$I$89,5,0)</f>
        <v>1.0049916454590858E-13</v>
      </c>
      <c r="AK75" s="13">
        <f t="shared" si="89"/>
        <v>1.5089081593838289E-12</v>
      </c>
      <c r="AL75" s="20">
        <f t="shared" si="58"/>
        <v>2.8030510891776262E-12</v>
      </c>
      <c r="AM75" s="59">
        <f t="shared" si="59"/>
        <v>293.3333333333361</v>
      </c>
      <c r="AN75" s="59">
        <f ca="1">AVERAGE(OFFSET($AM$3,0,0,'Données projet'!$E$10+1,1))-AVERAGE(OFFSET($H$3,0,0,'Données projet'!$E$10+1,1))</f>
        <v>343.36665824683809</v>
      </c>
      <c r="AO75" s="59">
        <f t="shared" si="90"/>
        <v>342.89042241858527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201.53721395348686</v>
      </c>
      <c r="AV75" s="21">
        <f>EXP(-LN(2)/25)*AV74+(1-EXP(-LN(2)/25))/(LN(2)/25)*Calculateur!AQ75*Calculateur!AS75*VLOOKUP('Données projet'!$B$10,Paramètres!$A$1:$I$89,3,0)*0.475*44/12</f>
        <v>72.1551474291213</v>
      </c>
      <c r="AW75" s="21">
        <f>EXP(-LN(2)/2)*AW74+(1-EXP(-LN(2)/2))/(LN(2)/2)*AQ75*AT75*VLOOKUP('Données projet'!$B$10,Paramètres!$A$1:$I$89,3,0)*0.475*44/12</f>
        <v>7.0699870962095588</v>
      </c>
      <c r="AX75" s="21">
        <f t="shared" si="60"/>
        <v>280.76234847881773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-5.6843418860808015E-14</v>
      </c>
      <c r="BE75" s="13">
        <f>BD75*VLOOKUP('Données projet'!$B$11,Paramètres!$A$1:$I$89,3,0)*VLOOKUP('Données projet'!$B$11,Paramètres!$A$1:$I$89,5,0)</f>
        <v>-3.1036506698001178E-14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191.96190073146369</v>
      </c>
      <c r="BJ75" s="59">
        <f t="shared" si="92"/>
        <v>224.0560835232115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116.99255858980969</v>
      </c>
      <c r="BQ75" s="21">
        <f>EXP(-LN(2)/25)*BQ74+(1-EXP(-LN(2)/25))/(LN(2)/25)*Calculateur!BL75*Calculateur!BN75*VLOOKUP('Données projet'!$B$11,Paramètres!$A$1:$I$89,3,0)*0.475*44/12</f>
        <v>47.544334365593045</v>
      </c>
      <c r="BR75" s="21">
        <f>EXP(-LN(2)/2)*BR74+(1-EXP(-LN(2)/2))/(LN(2)/2)*BL75*BO75*VLOOKUP('Données projet'!$B$11,Paramètres!$A$1:$I$89,3,0)*0.475*44/12</f>
        <v>3.6970817072084428</v>
      </c>
      <c r="BS75" s="22">
        <f t="shared" si="63"/>
        <v>168.23397466261116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-4.5474735088646412E-13</v>
      </c>
      <c r="O76" s="13">
        <f>N76*VLOOKUP('Données projet'!$B$9,Paramètres!$A$1:$I$89,3,0)*VLOOKUP('Données projet'!$B$9,Paramètres!$A$1:$I$89,5,0)</f>
        <v>-2.5420376914553347E-13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410.71046306000068</v>
      </c>
      <c r="T76" s="59">
        <f t="shared" si="88"/>
        <v>430.43167430170087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293.23546684812914</v>
      </c>
      <c r="AA76" s="21">
        <f>EXP(-LN(2)/25)*AA75+(1-EXP(-LN(2)/25))/(LN(2)/25)*Calculateur!V76*Calculateur!X76*VLOOKUP('Données projet'!$B$9,Paramètres!$A$1:$I$89,3,0)*0.475*44/12</f>
        <v>52.273174571292891</v>
      </c>
      <c r="AB76" s="21">
        <f>EXP(-LN(2)/2)*AB75+(1-EXP(-LN(2)/2))/(LN(2)/2)*V76*Y76*VLOOKUP('Données projet'!$B$9,Paramètres!$A$1:$I$89,3,0)*0.475*44/12</f>
        <v>2.8321618191659832</v>
      </c>
      <c r="AC76" s="22">
        <f t="shared" si="57"/>
        <v>348.34080323858802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2.2737367544323206E-13</v>
      </c>
      <c r="AJ76" s="13">
        <f>AI76*VLOOKUP('Données projet'!$B$10,Paramètres!$A$1:$I$89,3,0)*VLOOKUP('Données projet'!$B$10,Paramètres!$A$1:$I$89,5,0)</f>
        <v>1.0049916454590858E-13</v>
      </c>
      <c r="AK76" s="13">
        <f t="shared" si="89"/>
        <v>1.5089081593838289E-12</v>
      </c>
      <c r="AL76" s="20">
        <f t="shared" si="58"/>
        <v>2.8030510891776262E-12</v>
      </c>
      <c r="AM76" s="59">
        <f t="shared" si="59"/>
        <v>293.3333333333361</v>
      </c>
      <c r="AN76" s="59">
        <f ca="1">AVERAGE(OFFSET($AM$3,0,0,'Données projet'!$E$10+1,1))-AVERAGE(OFFSET($H$3,0,0,'Données projet'!$E$10+1,1))</f>
        <v>343.36665824683809</v>
      </c>
      <c r="AO76" s="59">
        <f t="shared" si="90"/>
        <v>342.89042241858527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197.58519211342158</v>
      </c>
      <c r="AV76" s="21">
        <f>EXP(-LN(2)/25)*AV75+(1-EXP(-LN(2)/25))/(LN(2)/25)*Calculateur!AQ76*Calculateur!AS76*VLOOKUP('Données projet'!$B$10,Paramètres!$A$1:$I$89,3,0)*0.475*44/12</f>
        <v>70.182061128197688</v>
      </c>
      <c r="AW76" s="21">
        <f>EXP(-LN(2)/2)*AW75+(1-EXP(-LN(2)/2))/(LN(2)/2)*AQ76*AT76*VLOOKUP('Données projet'!$B$10,Paramètres!$A$1:$I$89,3,0)*0.475*44/12</f>
        <v>4.9992358186311669</v>
      </c>
      <c r="AX76" s="21">
        <f t="shared" si="60"/>
        <v>272.76648906025048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-5.6843418860808015E-14</v>
      </c>
      <c r="BE76" s="13">
        <f>BD76*VLOOKUP('Données projet'!$B$11,Paramètres!$A$1:$I$89,3,0)*VLOOKUP('Données projet'!$B$11,Paramètres!$A$1:$I$89,5,0)</f>
        <v>-3.1036506698001178E-14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191.96190073146369</v>
      </c>
      <c r="BJ76" s="59">
        <f t="shared" si="92"/>
        <v>224.0560835232115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114.69840587427821</v>
      </c>
      <c r="BQ76" s="21">
        <f>EXP(-LN(2)/25)*BQ75+(1-EXP(-LN(2)/25))/(LN(2)/25)*Calculateur!BL76*Calculateur!BN76*VLOOKUP('Données projet'!$B$11,Paramètres!$A$1:$I$89,3,0)*0.475*44/12</f>
        <v>46.244232042118021</v>
      </c>
      <c r="BR76" s="21">
        <f>EXP(-LN(2)/2)*BR75+(1-EXP(-LN(2)/2))/(LN(2)/2)*BL76*BO76*VLOOKUP('Données projet'!$B$11,Paramètres!$A$1:$I$89,3,0)*0.475*44/12</f>
        <v>2.614231545767828</v>
      </c>
      <c r="BS76" s="22">
        <f t="shared" si="63"/>
        <v>163.55686946216406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-4.5474735088646412E-13</v>
      </c>
      <c r="O77" s="13">
        <f>N77*VLOOKUP('Données projet'!$B$9,Paramètres!$A$1:$I$89,3,0)*VLOOKUP('Données projet'!$B$9,Paramètres!$A$1:$I$89,5,0)</f>
        <v>-2.5420376914553347E-13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410.71046306000068</v>
      </c>
      <c r="T77" s="59">
        <f t="shared" si="88"/>
        <v>430.43167430170087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287.48529819921151</v>
      </c>
      <c r="AA77" s="21">
        <f>EXP(-LN(2)/25)*AA76+(1-EXP(-LN(2)/25))/(LN(2)/25)*Calculateur!V77*Calculateur!X77*VLOOKUP('Données projet'!$B$9,Paramètres!$A$1:$I$89,3,0)*0.475*44/12</f>
        <v>50.843761863714107</v>
      </c>
      <c r="AB77" s="21">
        <f>EXP(-LN(2)/2)*AB76+(1-EXP(-LN(2)/2))/(LN(2)/2)*V77*Y77*VLOOKUP('Données projet'!$B$9,Paramètres!$A$1:$I$89,3,0)*0.475*44/12</f>
        <v>2.0026408277498953</v>
      </c>
      <c r="AC77" s="22">
        <f t="shared" si="57"/>
        <v>340.33170089067551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2.2737367544323206E-13</v>
      </c>
      <c r="AJ77" s="13">
        <f>AI77*VLOOKUP('Données projet'!$B$10,Paramètres!$A$1:$I$89,3,0)*VLOOKUP('Données projet'!$B$10,Paramètres!$A$1:$I$89,5,0)</f>
        <v>1.0049916454590858E-13</v>
      </c>
      <c r="AK77" s="13">
        <f t="shared" si="89"/>
        <v>1.5089081593838289E-12</v>
      </c>
      <c r="AL77" s="20">
        <f t="shared" si="58"/>
        <v>2.8030510891776262E-12</v>
      </c>
      <c r="AM77" s="59">
        <f t="shared" si="59"/>
        <v>293.3333333333361</v>
      </c>
      <c r="AN77" s="59">
        <f ca="1">AVERAGE(OFFSET($AM$3,0,0,'Données projet'!$E$10+1,1))-AVERAGE(OFFSET($H$3,0,0,'Données projet'!$E$10+1,1))</f>
        <v>343.36665824683809</v>
      </c>
      <c r="AO77" s="59">
        <f t="shared" si="90"/>
        <v>342.89042241858527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193.71066701114469</v>
      </c>
      <c r="AV77" s="21">
        <f>EXP(-LN(2)/25)*AV76+(1-EXP(-LN(2)/25))/(LN(2)/25)*Calculateur!AQ77*Calculateur!AS77*VLOOKUP('Données projet'!$B$10,Paramètres!$A$1:$I$89,3,0)*0.475*44/12</f>
        <v>68.262928975932937</v>
      </c>
      <c r="AW77" s="21">
        <f>EXP(-LN(2)/2)*AW76+(1-EXP(-LN(2)/2))/(LN(2)/2)*AQ77*AT77*VLOOKUP('Données projet'!$B$10,Paramètres!$A$1:$I$89,3,0)*0.475*44/12</f>
        <v>3.5349935481047794</v>
      </c>
      <c r="AX77" s="21">
        <f t="shared" si="60"/>
        <v>265.50858953518241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-5.6843418860808015E-14</v>
      </c>
      <c r="BE77" s="13">
        <f>BD77*VLOOKUP('Données projet'!$B$11,Paramètres!$A$1:$I$89,3,0)*VLOOKUP('Données projet'!$B$11,Paramètres!$A$1:$I$89,5,0)</f>
        <v>-3.1036506698001178E-14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191.96190073146369</v>
      </c>
      <c r="BJ77" s="59">
        <f t="shared" si="92"/>
        <v>224.0560835232115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112.4492400942033</v>
      </c>
      <c r="BQ77" s="21">
        <f>EXP(-LN(2)/25)*BQ76+(1-EXP(-LN(2)/25))/(LN(2)/25)*Calculateur!BL77*Calculateur!BN77*VLOOKUP('Données projet'!$B$11,Paramètres!$A$1:$I$89,3,0)*0.475*44/12</f>
        <v>44.979681085047837</v>
      </c>
      <c r="BR77" s="21">
        <f>EXP(-LN(2)/2)*BR76+(1-EXP(-LN(2)/2))/(LN(2)/2)*BL77*BO77*VLOOKUP('Données projet'!$B$11,Paramètres!$A$1:$I$89,3,0)*0.475*44/12</f>
        <v>1.8485408536042216</v>
      </c>
      <c r="BS77" s="22">
        <f t="shared" si="63"/>
        <v>159.27746203285537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-4.5474735088646412E-13</v>
      </c>
      <c r="O78" s="13">
        <f>N78*VLOOKUP('Données projet'!$B$9,Paramètres!$A$1:$I$89,3,0)*VLOOKUP('Données projet'!$B$9,Paramètres!$A$1:$I$89,5,0)</f>
        <v>-2.5420376914553347E-13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410.71046306000068</v>
      </c>
      <c r="T78" s="59">
        <f t="shared" si="88"/>
        <v>430.43167430170087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281.84788685024262</v>
      </c>
      <c r="AA78" s="21">
        <f>EXP(-LN(2)/25)*AA77+(1-EXP(-LN(2)/25))/(LN(2)/25)*Calculateur!V78*Calculateur!X78*VLOOKUP('Données projet'!$B$9,Paramètres!$A$1:$I$89,3,0)*0.475*44/12</f>
        <v>49.453436521793613</v>
      </c>
      <c r="AB78" s="21">
        <f>EXP(-LN(2)/2)*AB77+(1-EXP(-LN(2)/2))/(LN(2)/2)*V78*Y78*VLOOKUP('Données projet'!$B$9,Paramètres!$A$1:$I$89,3,0)*0.475*44/12</f>
        <v>1.4160809095829916</v>
      </c>
      <c r="AC78" s="22">
        <f t="shared" si="57"/>
        <v>332.71740428161922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2.2737367544323206E-13</v>
      </c>
      <c r="AJ78" s="13">
        <f>AI78*VLOOKUP('Données projet'!$B$10,Paramètres!$A$1:$I$89,3,0)*VLOOKUP('Données projet'!$B$10,Paramètres!$A$1:$I$89,5,0)</f>
        <v>1.0049916454590858E-13</v>
      </c>
      <c r="AK78" s="13">
        <f t="shared" si="89"/>
        <v>1.5089081593838289E-12</v>
      </c>
      <c r="AL78" s="20">
        <f t="shared" si="58"/>
        <v>2.8030510891776262E-12</v>
      </c>
      <c r="AM78" s="59">
        <f t="shared" si="59"/>
        <v>293.3333333333361</v>
      </c>
      <c r="AN78" s="59">
        <f ca="1">AVERAGE(OFFSET($AM$3,0,0,'Données projet'!$E$10+1,1))-AVERAGE(OFFSET($H$3,0,0,'Données projet'!$E$10+1,1))</f>
        <v>343.36665824683809</v>
      </c>
      <c r="AO78" s="59">
        <f t="shared" si="90"/>
        <v>342.89042241858527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189.91211898289649</v>
      </c>
      <c r="AV78" s="21">
        <f>EXP(-LN(2)/25)*AV77+(1-EXP(-LN(2)/25))/(LN(2)/25)*Calculateur!AQ78*Calculateur!AS78*VLOOKUP('Données projet'!$B$10,Paramètres!$A$1:$I$89,3,0)*0.475*44/12</f>
        <v>66.396275593294632</v>
      </c>
      <c r="AW78" s="21">
        <f>EXP(-LN(2)/2)*AW77+(1-EXP(-LN(2)/2))/(LN(2)/2)*AQ78*AT78*VLOOKUP('Données projet'!$B$10,Paramètres!$A$1:$I$89,3,0)*0.475*44/12</f>
        <v>2.4996179093155835</v>
      </c>
      <c r="AX78" s="21">
        <f t="shared" si="60"/>
        <v>258.80801248550671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-5.6843418860808015E-14</v>
      </c>
      <c r="BE78" s="13">
        <f>BD78*VLOOKUP('Données projet'!$B$11,Paramètres!$A$1:$I$89,3,0)*VLOOKUP('Données projet'!$B$11,Paramètres!$A$1:$I$89,5,0)</f>
        <v>-3.1036506698001178E-14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191.96190073146369</v>
      </c>
      <c r="BJ78" s="59">
        <f t="shared" si="92"/>
        <v>224.0560835232115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110.24417908322</v>
      </c>
      <c r="BQ78" s="21">
        <f>EXP(-LN(2)/25)*BQ77+(1-EXP(-LN(2)/25))/(LN(2)/25)*Calculateur!BL78*Calculateur!BN78*VLOOKUP('Données projet'!$B$11,Paramètres!$A$1:$I$89,3,0)*0.475*44/12</f>
        <v>43.749709340398574</v>
      </c>
      <c r="BR78" s="21">
        <f>EXP(-LN(2)/2)*BR77+(1-EXP(-LN(2)/2))/(LN(2)/2)*BL78*BO78*VLOOKUP('Données projet'!$B$11,Paramètres!$A$1:$I$89,3,0)*0.475*44/12</f>
        <v>1.3071157728839142</v>
      </c>
      <c r="BS78" s="22">
        <f t="shared" si="63"/>
        <v>155.3010041965025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-4.5474735088646412E-13</v>
      </c>
      <c r="O79" s="13">
        <f>N79*VLOOKUP('Données projet'!$B$9,Paramètres!$A$1:$I$89,3,0)*VLOOKUP('Données projet'!$B$9,Paramètres!$A$1:$I$89,5,0)</f>
        <v>-2.5420376914553347E-13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410.71046306000068</v>
      </c>
      <c r="T79" s="59">
        <f t="shared" si="88"/>
        <v>430.43167430170087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276.32102169934564</v>
      </c>
      <c r="AA79" s="21">
        <f>EXP(-LN(2)/25)*AA78+(1-EXP(-LN(2)/25))/(LN(2)/25)*Calculateur!V79*Calculateur!X79*VLOOKUP('Données projet'!$B$9,Paramètres!$A$1:$I$89,3,0)*0.475*44/12</f>
        <v>48.101129699461964</v>
      </c>
      <c r="AB79" s="21">
        <f>EXP(-LN(2)/2)*AB78+(1-EXP(-LN(2)/2))/(LN(2)/2)*V79*Y79*VLOOKUP('Données projet'!$B$9,Paramètres!$A$1:$I$89,3,0)*0.475*44/12</f>
        <v>1.0013204138749476</v>
      </c>
      <c r="AC79" s="22">
        <f t="shared" si="57"/>
        <v>325.42347181268258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2.2737367544323206E-13</v>
      </c>
      <c r="AJ79" s="13">
        <f>AI79*VLOOKUP('Données projet'!$B$10,Paramètres!$A$1:$I$89,3,0)*VLOOKUP('Données projet'!$B$10,Paramètres!$A$1:$I$89,5,0)</f>
        <v>1.0049916454590858E-13</v>
      </c>
      <c r="AK79" s="13">
        <f t="shared" si="89"/>
        <v>1.5089081593838289E-12</v>
      </c>
      <c r="AL79" s="20">
        <f t="shared" si="58"/>
        <v>2.8030510891776262E-12</v>
      </c>
      <c r="AM79" s="59">
        <f t="shared" si="59"/>
        <v>293.3333333333361</v>
      </c>
      <c r="AN79" s="59">
        <f ca="1">AVERAGE(OFFSET($AM$3,0,0,'Données projet'!$E$10+1,1))-AVERAGE(OFFSET($H$3,0,0,'Données projet'!$E$10+1,1))</f>
        <v>343.36665824683809</v>
      </c>
      <c r="AO79" s="59">
        <f t="shared" si="90"/>
        <v>342.89042241858527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186.18805816459673</v>
      </c>
      <c r="AV79" s="21">
        <f>EXP(-LN(2)/25)*AV78+(1-EXP(-LN(2)/25))/(LN(2)/25)*Calculateur!AQ79*Calculateur!AS79*VLOOKUP('Données projet'!$B$10,Paramètres!$A$1:$I$89,3,0)*0.475*44/12</f>
        <v>64.580665945567603</v>
      </c>
      <c r="AW79" s="21">
        <f>EXP(-LN(2)/2)*AW78+(1-EXP(-LN(2)/2))/(LN(2)/2)*AQ79*AT79*VLOOKUP('Données projet'!$B$10,Paramètres!$A$1:$I$89,3,0)*0.475*44/12</f>
        <v>1.7674967740523897</v>
      </c>
      <c r="AX79" s="21">
        <f t="shared" si="60"/>
        <v>252.53622088421673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-5.6843418860808015E-14</v>
      </c>
      <c r="BE79" s="13">
        <f>BD79*VLOOKUP('Données projet'!$B$11,Paramètres!$A$1:$I$89,3,0)*VLOOKUP('Données projet'!$B$11,Paramètres!$A$1:$I$89,5,0)</f>
        <v>-3.1036506698001178E-14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191.96190073146369</v>
      </c>
      <c r="BJ79" s="59">
        <f t="shared" si="92"/>
        <v>224.0560835232115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108.08235797370767</v>
      </c>
      <c r="BQ79" s="21">
        <f>EXP(-LN(2)/25)*BQ78+(1-EXP(-LN(2)/25))/(LN(2)/25)*Calculateur!BL79*Calculateur!BN79*VLOOKUP('Données projet'!$B$11,Paramètres!$A$1:$I$89,3,0)*0.475*44/12</f>
        <v>42.553371237788156</v>
      </c>
      <c r="BR79" s="21">
        <f>EXP(-LN(2)/2)*BR78+(1-EXP(-LN(2)/2))/(LN(2)/2)*BL79*BO79*VLOOKUP('Données projet'!$B$11,Paramètres!$A$1:$I$89,3,0)*0.475*44/12</f>
        <v>0.92427042680211091</v>
      </c>
      <c r="BS79" s="22">
        <f t="shared" si="63"/>
        <v>151.55999963829794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-4.5474735088646412E-13</v>
      </c>
      <c r="O80" s="13">
        <f>N80*VLOOKUP('Données projet'!$B$9,Paramètres!$A$1:$I$89,3,0)*VLOOKUP('Données projet'!$B$9,Paramètres!$A$1:$I$89,5,0)</f>
        <v>-2.5420376914553347E-13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410.71046306000068</v>
      </c>
      <c r="T80" s="59">
        <f t="shared" si="88"/>
        <v>430.43167430170087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270.90253500300287</v>
      </c>
      <c r="AA80" s="21">
        <f>EXP(-LN(2)/25)*AA79+(1-EXP(-LN(2)/25))/(LN(2)/25)*Calculateur!V80*Calculateur!X80*VLOOKUP('Données projet'!$B$9,Paramètres!$A$1:$I$89,3,0)*0.475*44/12</f>
        <v>46.785801778301703</v>
      </c>
      <c r="AB80" s="21">
        <f>EXP(-LN(2)/2)*AB79+(1-EXP(-LN(2)/2))/(LN(2)/2)*V80*Y80*VLOOKUP('Données projet'!$B$9,Paramètres!$A$1:$I$89,3,0)*0.475*44/12</f>
        <v>0.7080404547914958</v>
      </c>
      <c r="AC80" s="22">
        <f t="shared" si="57"/>
        <v>318.39637723609604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2.2737367544323206E-13</v>
      </c>
      <c r="AJ80" s="13">
        <f>AI80*VLOOKUP('Données projet'!$B$10,Paramètres!$A$1:$I$89,3,0)*VLOOKUP('Données projet'!$B$10,Paramètres!$A$1:$I$89,5,0)</f>
        <v>1.0049916454590858E-13</v>
      </c>
      <c r="AK80" s="13">
        <f t="shared" si="89"/>
        <v>1.5089081593838289E-12</v>
      </c>
      <c r="AL80" s="20">
        <f t="shared" si="58"/>
        <v>2.8030510891776262E-12</v>
      </c>
      <c r="AM80" s="59">
        <f t="shared" si="59"/>
        <v>293.3333333333361</v>
      </c>
      <c r="AN80" s="59">
        <f ca="1">AVERAGE(OFFSET($AM$3,0,0,'Données projet'!$E$10+1,1))-AVERAGE(OFFSET($H$3,0,0,'Données projet'!$E$10+1,1))</f>
        <v>343.36665824683809</v>
      </c>
      <c r="AO80" s="59">
        <f t="shared" si="90"/>
        <v>342.89042241858527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182.537023907491</v>
      </c>
      <c r="AV80" s="21">
        <f>EXP(-LN(2)/25)*AV79+(1-EXP(-LN(2)/25))/(LN(2)/25)*Calculateur!AQ80*Calculateur!AS80*VLOOKUP('Données projet'!$B$10,Paramètres!$A$1:$I$89,3,0)*0.475*44/12</f>
        <v>62.814704239136432</v>
      </c>
      <c r="AW80" s="21">
        <f>EXP(-LN(2)/2)*AW79+(1-EXP(-LN(2)/2))/(LN(2)/2)*AQ80*AT80*VLOOKUP('Données projet'!$B$10,Paramètres!$A$1:$I$89,3,0)*0.475*44/12</f>
        <v>1.2498089546577917</v>
      </c>
      <c r="AX80" s="21">
        <f t="shared" si="60"/>
        <v>246.60153710128523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-5.6843418860808015E-14</v>
      </c>
      <c r="BE80" s="13">
        <f>BD80*VLOOKUP('Données projet'!$B$11,Paramètres!$A$1:$I$89,3,0)*VLOOKUP('Données projet'!$B$11,Paramètres!$A$1:$I$89,5,0)</f>
        <v>-3.1036506698001178E-14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191.96190073146369</v>
      </c>
      <c r="BJ80" s="59">
        <f t="shared" si="92"/>
        <v>224.0560835232115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105.96292885757221</v>
      </c>
      <c r="BQ80" s="21">
        <f>EXP(-LN(2)/25)*BQ79+(1-EXP(-LN(2)/25))/(LN(2)/25)*Calculateur!BL80*Calculateur!BN80*VLOOKUP('Données projet'!$B$11,Paramètres!$A$1:$I$89,3,0)*0.475*44/12</f>
        <v>41.389747063506299</v>
      </c>
      <c r="BR80" s="21">
        <f>EXP(-LN(2)/2)*BR79+(1-EXP(-LN(2)/2))/(LN(2)/2)*BL80*BO80*VLOOKUP('Données projet'!$B$11,Paramètres!$A$1:$I$89,3,0)*0.475*44/12</f>
        <v>0.65355788644195723</v>
      </c>
      <c r="BS80" s="22">
        <f t="shared" si="63"/>
        <v>148.00623380752046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-4.5474735088646412E-13</v>
      </c>
      <c r="O81" s="13">
        <f>N81*VLOOKUP('Données projet'!$B$9,Paramètres!$A$1:$I$89,3,0)*VLOOKUP('Données projet'!$B$9,Paramètres!$A$1:$I$89,5,0)</f>
        <v>-2.5420376914553347E-13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410.71046306000068</v>
      </c>
      <c r="T81" s="59">
        <f t="shared" si="88"/>
        <v>430.43167430170087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265.59030152582483</v>
      </c>
      <c r="AA81" s="21">
        <f>EXP(-LN(2)/25)*AA80+(1-EXP(-LN(2)/25))/(LN(2)/25)*Calculateur!V81*Calculateur!X81*VLOOKUP('Données projet'!$B$9,Paramètres!$A$1:$I$89,3,0)*0.475*44/12</f>
        <v>45.506441568315658</v>
      </c>
      <c r="AB81" s="21">
        <f>EXP(-LN(2)/2)*AB80+(1-EXP(-LN(2)/2))/(LN(2)/2)*V81*Y81*VLOOKUP('Données projet'!$B$9,Paramètres!$A$1:$I$89,3,0)*0.475*44/12</f>
        <v>0.50066020693747382</v>
      </c>
      <c r="AC81" s="22">
        <f t="shared" si="57"/>
        <v>311.59740330107797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2.2737367544323206E-13</v>
      </c>
      <c r="AJ81" s="13">
        <f>AI81*VLOOKUP('Données projet'!$B$10,Paramètres!$A$1:$I$89,3,0)*VLOOKUP('Données projet'!$B$10,Paramètres!$A$1:$I$89,5,0)</f>
        <v>1.0049916454590858E-13</v>
      </c>
      <c r="AK81" s="13">
        <f t="shared" si="89"/>
        <v>1.5089081593838289E-12</v>
      </c>
      <c r="AL81" s="20">
        <f t="shared" si="58"/>
        <v>2.8030510891776262E-12</v>
      </c>
      <c r="AM81" s="59">
        <f t="shared" si="59"/>
        <v>293.3333333333361</v>
      </c>
      <c r="AN81" s="59">
        <f ca="1">AVERAGE(OFFSET($AM$3,0,0,'Données projet'!$E$10+1,1))-AVERAGE(OFFSET($H$3,0,0,'Données projet'!$E$10+1,1))</f>
        <v>343.36665824683809</v>
      </c>
      <c r="AO81" s="59">
        <f t="shared" si="90"/>
        <v>342.89042241858527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178.95758420525613</v>
      </c>
      <c r="AV81" s="21">
        <f>EXP(-LN(2)/25)*AV80+(1-EXP(-LN(2)/25))/(LN(2)/25)*Calculateur!AQ81*Calculateur!AS81*VLOOKUP('Données projet'!$B$10,Paramètres!$A$1:$I$89,3,0)*0.475*44/12</f>
        <v>61.097032848435518</v>
      </c>
      <c r="AW81" s="21">
        <f>EXP(-LN(2)/2)*AW80+(1-EXP(-LN(2)/2))/(LN(2)/2)*AQ81*AT81*VLOOKUP('Données projet'!$B$10,Paramètres!$A$1:$I$89,3,0)*0.475*44/12</f>
        <v>0.88374838702619485</v>
      </c>
      <c r="AX81" s="21">
        <f t="shared" si="60"/>
        <v>240.93836544071783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-5.6843418860808015E-14</v>
      </c>
      <c r="BE81" s="13">
        <f>BD81*VLOOKUP('Données projet'!$B$11,Paramètres!$A$1:$I$89,3,0)*VLOOKUP('Données projet'!$B$11,Paramètres!$A$1:$I$89,5,0)</f>
        <v>-3.1036506698001178E-14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191.96190073146369</v>
      </c>
      <c r="BJ81" s="59">
        <f t="shared" si="92"/>
        <v>224.0560835232115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103.88506045368004</v>
      </c>
      <c r="BQ81" s="21">
        <f>EXP(-LN(2)/25)*BQ80+(1-EXP(-LN(2)/25))/(LN(2)/25)*Calculateur!BL81*Calculateur!BN81*VLOOKUP('Données projet'!$B$11,Paramètres!$A$1:$I$89,3,0)*0.475*44/12</f>
        <v>40.257942253462517</v>
      </c>
      <c r="BR81" s="21">
        <f>EXP(-LN(2)/2)*BR80+(1-EXP(-LN(2)/2))/(LN(2)/2)*BL81*BO81*VLOOKUP('Données projet'!$B$11,Paramètres!$A$1:$I$89,3,0)*0.475*44/12</f>
        <v>0.46213521340105557</v>
      </c>
      <c r="BS81" s="22">
        <f t="shared" si="63"/>
        <v>144.60513792054363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-4.5474735088646412E-13</v>
      </c>
      <c r="O82" s="13">
        <f>N82*VLOOKUP('Données projet'!$B$9,Paramètres!$A$1:$I$89,3,0)*VLOOKUP('Données projet'!$B$9,Paramètres!$A$1:$I$89,5,0)</f>
        <v>-2.5420376914553347E-13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410.71046306000068</v>
      </c>
      <c r="T82" s="59">
        <f t="shared" si="88"/>
        <v>430.43167430170087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260.38223770699176</v>
      </c>
      <c r="AA82" s="21">
        <f>EXP(-LN(2)/25)*AA81+(1-EXP(-LN(2)/25))/(LN(2)/25)*Calculateur!V82*Calculateur!X82*VLOOKUP('Données projet'!$B$9,Paramètres!$A$1:$I$89,3,0)*0.475*44/12</f>
        <v>44.262065530550309</v>
      </c>
      <c r="AB82" s="21">
        <f>EXP(-LN(2)/2)*AB81+(1-EXP(-LN(2)/2))/(LN(2)/2)*V82*Y82*VLOOKUP('Données projet'!$B$9,Paramètres!$A$1:$I$89,3,0)*0.475*44/12</f>
        <v>0.3540202273957479</v>
      </c>
      <c r="AC82" s="22">
        <f t="shared" si="57"/>
        <v>304.99832346493781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2.2737367544323206E-13</v>
      </c>
      <c r="AJ82" s="13">
        <f>AI82*VLOOKUP('Données projet'!$B$10,Paramètres!$A$1:$I$89,3,0)*VLOOKUP('Données projet'!$B$10,Paramètres!$A$1:$I$89,5,0)</f>
        <v>1.0049916454590858E-13</v>
      </c>
      <c r="AK82" s="13">
        <f t="shared" si="89"/>
        <v>1.5089081593838289E-12</v>
      </c>
      <c r="AL82" s="20">
        <f t="shared" si="58"/>
        <v>2.8030510891776262E-12</v>
      </c>
      <c r="AM82" s="59">
        <f t="shared" si="59"/>
        <v>293.3333333333361</v>
      </c>
      <c r="AN82" s="59">
        <f ca="1">AVERAGE(OFFSET($AM$3,0,0,'Données projet'!$E$10+1,1))-AVERAGE(OFFSET($H$3,0,0,'Données projet'!$E$10+1,1))</f>
        <v>343.36665824683809</v>
      </c>
      <c r="AO82" s="59">
        <f t="shared" si="90"/>
        <v>342.89042241858527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175.44833513233942</v>
      </c>
      <c r="AV82" s="21">
        <f>EXP(-LN(2)/25)*AV81+(1-EXP(-LN(2)/25))/(LN(2)/25)*Calculateur!AQ82*Calculateur!AS82*VLOOKUP('Données projet'!$B$10,Paramètres!$A$1:$I$89,3,0)*0.475*44/12</f>
        <v>59.426331272241733</v>
      </c>
      <c r="AW82" s="21">
        <f>EXP(-LN(2)/2)*AW81+(1-EXP(-LN(2)/2))/(LN(2)/2)*AQ82*AT82*VLOOKUP('Données projet'!$B$10,Paramètres!$A$1:$I$89,3,0)*0.475*44/12</f>
        <v>0.62490447732889587</v>
      </c>
      <c r="AX82" s="21">
        <f t="shared" si="60"/>
        <v>235.49957088191005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-5.6843418860808015E-14</v>
      </c>
      <c r="BE82" s="13">
        <f>BD82*VLOOKUP('Données projet'!$B$11,Paramètres!$A$1:$I$89,3,0)*VLOOKUP('Données projet'!$B$11,Paramètres!$A$1:$I$89,5,0)</f>
        <v>-3.1036506698001178E-14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191.96190073146369</v>
      </c>
      <c r="BJ82" s="59">
        <f t="shared" si="92"/>
        <v>224.0560835232115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101.84793778181361</v>
      </c>
      <c r="BQ82" s="21">
        <f>EXP(-LN(2)/25)*BQ81+(1-EXP(-LN(2)/25))/(LN(2)/25)*Calculateur!BL82*Calculateur!BN82*VLOOKUP('Données projet'!$B$11,Paramètres!$A$1:$I$89,3,0)*0.475*44/12</f>
        <v>39.157086705468409</v>
      </c>
      <c r="BR82" s="21">
        <f>EXP(-LN(2)/2)*BR81+(1-EXP(-LN(2)/2))/(LN(2)/2)*BL82*BO82*VLOOKUP('Données projet'!$B$11,Paramètres!$A$1:$I$89,3,0)*0.475*44/12</f>
        <v>0.32677894322097867</v>
      </c>
      <c r="BS82" s="22">
        <f t="shared" si="63"/>
        <v>141.33180343050299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-4.5474735088646412E-13</v>
      </c>
      <c r="O83" s="13">
        <f>N83*VLOOKUP('Données projet'!$B$9,Paramètres!$A$1:$I$89,3,0)*VLOOKUP('Données projet'!$B$9,Paramètres!$A$1:$I$89,5,0)</f>
        <v>-2.5420376914553347E-13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410.71046306000068</v>
      </c>
      <c r="T83" s="59">
        <f t="shared" si="88"/>
        <v>430.43167430170087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255.27630084304073</v>
      </c>
      <c r="AA83" s="21">
        <f>EXP(-LN(2)/25)*AA82+(1-EXP(-LN(2)/25))/(LN(2)/25)*Calculateur!V83*Calculateur!X83*VLOOKUP('Données projet'!$B$9,Paramètres!$A$1:$I$89,3,0)*0.475*44/12</f>
        <v>43.051717020976547</v>
      </c>
      <c r="AB83" s="21">
        <f>EXP(-LN(2)/2)*AB82+(1-EXP(-LN(2)/2))/(LN(2)/2)*V83*Y83*VLOOKUP('Données projet'!$B$9,Paramètres!$A$1:$I$89,3,0)*0.475*44/12</f>
        <v>0.25033010346873691</v>
      </c>
      <c r="AC83" s="22">
        <f t="shared" si="57"/>
        <v>298.57834796748602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2.2737367544323206E-13</v>
      </c>
      <c r="AJ83" s="13">
        <f>AI83*VLOOKUP('Données projet'!$B$10,Paramètres!$A$1:$I$89,3,0)*VLOOKUP('Données projet'!$B$10,Paramètres!$A$1:$I$89,5,0)</f>
        <v>1.0049916454590858E-13</v>
      </c>
      <c r="AK83" s="13">
        <f t="shared" si="89"/>
        <v>1.5089081593838289E-12</v>
      </c>
      <c r="AL83" s="20">
        <f t="shared" si="58"/>
        <v>2.8030510891776262E-12</v>
      </c>
      <c r="AM83" s="59">
        <f t="shared" si="59"/>
        <v>293.3333333333361</v>
      </c>
      <c r="AN83" s="59">
        <f ca="1">AVERAGE(OFFSET($AM$3,0,0,'Données projet'!$E$10+1,1))-AVERAGE(OFFSET($H$3,0,0,'Données projet'!$E$10+1,1))</f>
        <v>343.36665824683809</v>
      </c>
      <c r="AO83" s="59">
        <f t="shared" si="90"/>
        <v>342.89042241858527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172.00790029331202</v>
      </c>
      <c r="AV83" s="21">
        <f>EXP(-LN(2)/25)*AV82+(1-EXP(-LN(2)/25))/(LN(2)/25)*Calculateur!AQ83*Calculateur!AS83*VLOOKUP('Données projet'!$B$10,Paramètres!$A$1:$I$89,3,0)*0.475*44/12</f>
        <v>57.80131511850734</v>
      </c>
      <c r="AW83" s="21">
        <f>EXP(-LN(2)/2)*AW82+(1-EXP(-LN(2)/2))/(LN(2)/2)*AQ83*AT83*VLOOKUP('Données projet'!$B$10,Paramètres!$A$1:$I$89,3,0)*0.475*44/12</f>
        <v>0.44187419351309742</v>
      </c>
      <c r="AX83" s="21">
        <f t="shared" si="60"/>
        <v>230.25108960533245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-5.6843418860808015E-14</v>
      </c>
      <c r="BE83" s="13">
        <f>BD83*VLOOKUP('Données projet'!$B$11,Paramètres!$A$1:$I$89,3,0)*VLOOKUP('Données projet'!$B$11,Paramètres!$A$1:$I$89,5,0)</f>
        <v>-3.1036506698001178E-14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191.96190073146369</v>
      </c>
      <c r="BJ83" s="59">
        <f t="shared" si="92"/>
        <v>224.0560835232115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99.850761843020351</v>
      </c>
      <c r="BQ83" s="21">
        <f>EXP(-LN(2)/25)*BQ82+(1-EXP(-LN(2)/25))/(LN(2)/25)*Calculateur!BL83*Calculateur!BN83*VLOOKUP('Données projet'!$B$11,Paramètres!$A$1:$I$89,3,0)*0.475*44/12</f>
        <v>38.08633411032568</v>
      </c>
      <c r="BR83" s="21">
        <f>EXP(-LN(2)/2)*BR82+(1-EXP(-LN(2)/2))/(LN(2)/2)*BL83*BO83*VLOOKUP('Données projet'!$B$11,Paramètres!$A$1:$I$89,3,0)*0.475*44/12</f>
        <v>0.23106760670052781</v>
      </c>
      <c r="BS83" s="22">
        <f t="shared" si="63"/>
        <v>138.16816356004657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-4.5474735088646412E-13</v>
      </c>
      <c r="O84" s="13">
        <f>N84*VLOOKUP('Données projet'!$B$9,Paramètres!$A$1:$I$89,3,0)*VLOOKUP('Données projet'!$B$9,Paramètres!$A$1:$I$89,5,0)</f>
        <v>-2.5420376914553347E-13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410.71046306000068</v>
      </c>
      <c r="T84" s="59">
        <f t="shared" si="88"/>
        <v>430.43167430170087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250.27048828667782</v>
      </c>
      <c r="AA84" s="21">
        <f>EXP(-LN(2)/25)*AA83+(1-EXP(-LN(2)/25))/(LN(2)/25)*Calculateur!V84*Calculateur!X84*VLOOKUP('Données projet'!$B$9,Paramètres!$A$1:$I$89,3,0)*0.475*44/12</f>
        <v>41.874465555046541</v>
      </c>
      <c r="AB84" s="21">
        <f>EXP(-LN(2)/2)*AB83+(1-EXP(-LN(2)/2))/(LN(2)/2)*V84*Y84*VLOOKUP('Données projet'!$B$9,Paramètres!$A$1:$I$89,3,0)*0.475*44/12</f>
        <v>0.17701011369787395</v>
      </c>
      <c r="AC84" s="22">
        <f t="shared" si="57"/>
        <v>292.32196395542223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2.2737367544323206E-13</v>
      </c>
      <c r="AJ84" s="13">
        <f>AI84*VLOOKUP('Données projet'!$B$10,Paramètres!$A$1:$I$89,3,0)*VLOOKUP('Données projet'!$B$10,Paramètres!$A$1:$I$89,5,0)</f>
        <v>1.0049916454590858E-13</v>
      </c>
      <c r="AK84" s="13">
        <f t="shared" si="89"/>
        <v>1.5089081593838289E-12</v>
      </c>
      <c r="AL84" s="20">
        <f t="shared" si="58"/>
        <v>2.8030510891776262E-12</v>
      </c>
      <c r="AM84" s="59">
        <f t="shared" si="59"/>
        <v>293.3333333333361</v>
      </c>
      <c r="AN84" s="59">
        <f ca="1">AVERAGE(OFFSET($AM$3,0,0,'Données projet'!$E$10+1,1))-AVERAGE(OFFSET($H$3,0,0,'Données projet'!$E$10+1,1))</f>
        <v>343.36665824683809</v>
      </c>
      <c r="AO84" s="59">
        <f t="shared" si="90"/>
        <v>342.89042241858527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168.63493028301991</v>
      </c>
      <c r="AV84" s="21">
        <f>EXP(-LN(2)/25)*AV83+(1-EXP(-LN(2)/25))/(LN(2)/25)*Calculateur!AQ84*Calculateur!AS84*VLOOKUP('Données projet'!$B$10,Paramètres!$A$1:$I$89,3,0)*0.475*44/12</f>
        <v>56.220735116952703</v>
      </c>
      <c r="AW84" s="21">
        <f>EXP(-LN(2)/2)*AW83+(1-EXP(-LN(2)/2))/(LN(2)/2)*AQ84*AT84*VLOOKUP('Données projet'!$B$10,Paramètres!$A$1:$I$89,3,0)*0.475*44/12</f>
        <v>0.31245223866444793</v>
      </c>
      <c r="AX84" s="21">
        <f t="shared" si="60"/>
        <v>225.16811763863706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-5.6843418860808015E-14</v>
      </c>
      <c r="BE84" s="13">
        <f>BD84*VLOOKUP('Données projet'!$B$11,Paramètres!$A$1:$I$89,3,0)*VLOOKUP('Données projet'!$B$11,Paramètres!$A$1:$I$89,5,0)</f>
        <v>-3.1036506698001178E-14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191.96190073146369</v>
      </c>
      <c r="BJ84" s="59">
        <f t="shared" si="92"/>
        <v>224.0560835232115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97.892749306229774</v>
      </c>
      <c r="BQ84" s="21">
        <f>EXP(-LN(2)/25)*BQ83+(1-EXP(-LN(2)/25))/(LN(2)/25)*Calculateur!BL84*Calculateur!BN84*VLOOKUP('Données projet'!$B$11,Paramètres!$A$1:$I$89,3,0)*0.475*44/12</f>
        <v>37.044861301205557</v>
      </c>
      <c r="BR84" s="21">
        <f>EXP(-LN(2)/2)*BR83+(1-EXP(-LN(2)/2))/(LN(2)/2)*BL84*BO84*VLOOKUP('Données projet'!$B$11,Paramètres!$A$1:$I$89,3,0)*0.475*44/12</f>
        <v>0.16338947161048936</v>
      </c>
      <c r="BS84" s="22">
        <f t="shared" si="63"/>
        <v>135.1010000790458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-4.5474735088646412E-13</v>
      </c>
      <c r="O85" s="13">
        <f>N85*VLOOKUP('Données projet'!$B$9,Paramètres!$A$1:$I$89,3,0)*VLOOKUP('Données projet'!$B$9,Paramètres!$A$1:$I$89,5,0)</f>
        <v>-2.5420376914553347E-13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410.71046306000068</v>
      </c>
      <c r="T85" s="59">
        <f t="shared" si="88"/>
        <v>430.43167430170087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245.362836661301</v>
      </c>
      <c r="AA85" s="21">
        <f>EXP(-LN(2)/25)*AA84+(1-EXP(-LN(2)/25))/(LN(2)/25)*Calculateur!V85*Calculateur!X85*VLOOKUP('Données projet'!$B$9,Paramètres!$A$1:$I$89,3,0)*0.475*44/12</f>
        <v>40.729406092361359</v>
      </c>
      <c r="AB85" s="21">
        <f>EXP(-LN(2)/2)*AB84+(1-EXP(-LN(2)/2))/(LN(2)/2)*V85*Y85*VLOOKUP('Données projet'!$B$9,Paramètres!$A$1:$I$89,3,0)*0.475*44/12</f>
        <v>0.12516505173436845</v>
      </c>
      <c r="AC85" s="22">
        <f t="shared" si="57"/>
        <v>286.21740780539676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2.2737367544323206E-13</v>
      </c>
      <c r="AJ85" s="13">
        <f>AI85*VLOOKUP('Données projet'!$B$10,Paramètres!$A$1:$I$89,3,0)*VLOOKUP('Données projet'!$B$10,Paramètres!$A$1:$I$89,5,0)</f>
        <v>1.0049916454590858E-13</v>
      </c>
      <c r="AK85" s="13">
        <f t="shared" si="89"/>
        <v>1.5089081593838289E-12</v>
      </c>
      <c r="AL85" s="20">
        <f t="shared" si="58"/>
        <v>2.8030510891776262E-12</v>
      </c>
      <c r="AM85" s="59">
        <f t="shared" si="59"/>
        <v>293.3333333333361</v>
      </c>
      <c r="AN85" s="59">
        <f ca="1">AVERAGE(OFFSET($AM$3,0,0,'Données projet'!$E$10+1,1))-AVERAGE(OFFSET($H$3,0,0,'Données projet'!$E$10+1,1))</f>
        <v>343.36665824683809</v>
      </c>
      <c r="AO85" s="59">
        <f t="shared" si="90"/>
        <v>342.89042241858527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165.32810215732107</v>
      </c>
      <c r="AV85" s="21">
        <f>EXP(-LN(2)/25)*AV84+(1-EXP(-LN(2)/25))/(LN(2)/25)*Calculateur!AQ85*Calculateur!AS85*VLOOKUP('Données projet'!$B$10,Paramètres!$A$1:$I$89,3,0)*0.475*44/12</f>
        <v>54.683376158659662</v>
      </c>
      <c r="AW85" s="21">
        <f>EXP(-LN(2)/2)*AW84+(1-EXP(-LN(2)/2))/(LN(2)/2)*AQ85*AT85*VLOOKUP('Données projet'!$B$10,Paramètres!$A$1:$I$89,3,0)*0.475*44/12</f>
        <v>0.22093709675654871</v>
      </c>
      <c r="AX85" s="21">
        <f t="shared" si="60"/>
        <v>220.23241541273728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-5.6843418860808015E-14</v>
      </c>
      <c r="BE85" s="13">
        <f>BD85*VLOOKUP('Données projet'!$B$11,Paramètres!$A$1:$I$89,3,0)*VLOOKUP('Données projet'!$B$11,Paramètres!$A$1:$I$89,5,0)</f>
        <v>-3.1036506698001178E-14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191.96190073146369</v>
      </c>
      <c r="BJ85" s="59">
        <f t="shared" si="92"/>
        <v>224.0560835232115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95.973132201015943</v>
      </c>
      <c r="BQ85" s="21">
        <f>EXP(-LN(2)/25)*BQ84+(1-EXP(-LN(2)/25))/(LN(2)/25)*Calculateur!BL85*Calculateur!BN85*VLOOKUP('Données projet'!$B$11,Paramètres!$A$1:$I$89,3,0)*0.475*44/12</f>
        <v>36.031867620819504</v>
      </c>
      <c r="BR85" s="21">
        <f>EXP(-LN(2)/2)*BR84+(1-EXP(-LN(2)/2))/(LN(2)/2)*BL85*BO85*VLOOKUP('Données projet'!$B$11,Paramètres!$A$1:$I$89,3,0)*0.475*44/12</f>
        <v>0.11553380335026393</v>
      </c>
      <c r="BS85" s="22">
        <f t="shared" si="63"/>
        <v>132.12053362518571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-4.5474735088646412E-13</v>
      </c>
      <c r="O86" s="13">
        <f>N86*VLOOKUP('Données projet'!$B$9,Paramètres!$A$1:$I$89,3,0)*VLOOKUP('Données projet'!$B$9,Paramètres!$A$1:$I$89,5,0)</f>
        <v>-2.5420376914553347E-13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410.71046306000068</v>
      </c>
      <c r="T86" s="59">
        <f t="shared" si="88"/>
        <v>430.43167430170087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240.55142109092588</v>
      </c>
      <c r="AA86" s="21">
        <f>EXP(-LN(2)/25)*AA85+(1-EXP(-LN(2)/25))/(LN(2)/25)*Calculateur!V86*Calculateur!X86*VLOOKUP('Données projet'!$B$9,Paramètres!$A$1:$I$89,3,0)*0.475*44/12</f>
        <v>39.615658340899358</v>
      </c>
      <c r="AB86" s="21">
        <f>EXP(-LN(2)/2)*AB85+(1-EXP(-LN(2)/2))/(LN(2)/2)*V86*Y86*VLOOKUP('Données projet'!$B$9,Paramètres!$A$1:$I$89,3,0)*0.475*44/12</f>
        <v>8.8505056848936975E-2</v>
      </c>
      <c r="AC86" s="22">
        <f t="shared" si="57"/>
        <v>280.25558448867417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2.2737367544323206E-13</v>
      </c>
      <c r="AJ86" s="13">
        <f>AI86*VLOOKUP('Données projet'!$B$10,Paramètres!$A$1:$I$89,3,0)*VLOOKUP('Données projet'!$B$10,Paramètres!$A$1:$I$89,5,0)</f>
        <v>1.0049916454590858E-13</v>
      </c>
      <c r="AK86" s="13">
        <f t="shared" si="89"/>
        <v>1.5089081593838289E-12</v>
      </c>
      <c r="AL86" s="20">
        <f t="shared" si="58"/>
        <v>2.8030510891776262E-12</v>
      </c>
      <c r="AM86" s="59">
        <f t="shared" si="59"/>
        <v>293.3333333333361</v>
      </c>
      <c r="AN86" s="59">
        <f ca="1">AVERAGE(OFFSET($AM$3,0,0,'Données projet'!$E$10+1,1))-AVERAGE(OFFSET($H$3,0,0,'Données projet'!$E$10+1,1))</f>
        <v>343.36665824683809</v>
      </c>
      <c r="AO86" s="59">
        <f t="shared" si="90"/>
        <v>342.89042241858527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162.08611891420117</v>
      </c>
      <c r="AV86" s="21">
        <f>EXP(-LN(2)/25)*AV85+(1-EXP(-LN(2)/25))/(LN(2)/25)*Calculateur!AQ86*Calculateur!AS86*VLOOKUP('Données projet'!$B$10,Paramètres!$A$1:$I$89,3,0)*0.475*44/12</f>
        <v>53.188056361927345</v>
      </c>
      <c r="AW86" s="21">
        <f>EXP(-LN(2)/2)*AW85+(1-EXP(-LN(2)/2))/(LN(2)/2)*AQ86*AT86*VLOOKUP('Données projet'!$B$10,Paramètres!$A$1:$I$89,3,0)*0.475*44/12</f>
        <v>0.15622611933222397</v>
      </c>
      <c r="AX86" s="21">
        <f t="shared" si="60"/>
        <v>215.43040139546073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-5.6843418860808015E-14</v>
      </c>
      <c r="BE86" s="13">
        <f>BD86*VLOOKUP('Données projet'!$B$11,Paramètres!$A$1:$I$89,3,0)*VLOOKUP('Données projet'!$B$11,Paramètres!$A$1:$I$89,5,0)</f>
        <v>-3.1036506698001178E-14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191.96190073146369</v>
      </c>
      <c r="BJ86" s="59">
        <f t="shared" si="92"/>
        <v>224.0560835232115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94.091157616384535</v>
      </c>
      <c r="BQ86" s="21">
        <f>EXP(-LN(2)/25)*BQ85+(1-EXP(-LN(2)/25))/(LN(2)/25)*Calculateur!BL86*Calculateur!BN86*VLOOKUP('Données projet'!$B$11,Paramètres!$A$1:$I$89,3,0)*0.475*44/12</f>
        <v>35.04657430589463</v>
      </c>
      <c r="BR86" s="21">
        <f>EXP(-LN(2)/2)*BR85+(1-EXP(-LN(2)/2))/(LN(2)/2)*BL86*BO86*VLOOKUP('Données projet'!$B$11,Paramètres!$A$1:$I$89,3,0)*0.475*44/12</f>
        <v>8.1694735805244695E-2</v>
      </c>
      <c r="BS86" s="22">
        <f t="shared" si="63"/>
        <v>129.21942665808442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-4.5474735088646412E-13</v>
      </c>
      <c r="O87" s="13">
        <f>N87*VLOOKUP('Données projet'!$B$9,Paramètres!$A$1:$I$89,3,0)*VLOOKUP('Données projet'!$B$9,Paramètres!$A$1:$I$89,5,0)</f>
        <v>-2.5420376914553347E-13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410.71046306000068</v>
      </c>
      <c r="T87" s="59">
        <f t="shared" si="88"/>
        <v>430.43167430170087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235.83435444521211</v>
      </c>
      <c r="AA87" s="21">
        <f>EXP(-LN(2)/25)*AA86+(1-EXP(-LN(2)/25))/(LN(2)/25)*Calculateur!V87*Calculateur!X87*VLOOKUP('Données projet'!$B$9,Paramètres!$A$1:$I$89,3,0)*0.475*44/12</f>
        <v>38.532366080270535</v>
      </c>
      <c r="AB87" s="21">
        <f>EXP(-LN(2)/2)*AB86+(1-EXP(-LN(2)/2))/(LN(2)/2)*V87*Y87*VLOOKUP('Données projet'!$B$9,Paramètres!$A$1:$I$89,3,0)*0.475*44/12</f>
        <v>6.2582525867184227E-2</v>
      </c>
      <c r="AC87" s="22">
        <f t="shared" si="57"/>
        <v>274.42930305134985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2.2737367544323206E-13</v>
      </c>
      <c r="AJ87" s="13">
        <f>AI87*VLOOKUP('Données projet'!$B$10,Paramètres!$A$1:$I$89,3,0)*VLOOKUP('Données projet'!$B$10,Paramètres!$A$1:$I$89,5,0)</f>
        <v>1.0049916454590858E-13</v>
      </c>
      <c r="AK87" s="13">
        <f t="shared" si="89"/>
        <v>1.5089081593838289E-12</v>
      </c>
      <c r="AL87" s="20">
        <f t="shared" si="58"/>
        <v>2.8030510891776262E-12</v>
      </c>
      <c r="AM87" s="59">
        <f t="shared" si="59"/>
        <v>293.3333333333361</v>
      </c>
      <c r="AN87" s="59">
        <f ca="1">AVERAGE(OFFSET($AM$3,0,0,'Données projet'!$E$10+1,1))-AVERAGE(OFFSET($H$3,0,0,'Données projet'!$E$10+1,1))</f>
        <v>343.36665824683809</v>
      </c>
      <c r="AO87" s="59">
        <f t="shared" si="90"/>
        <v>342.89042241858527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158.90770898506432</v>
      </c>
      <c r="AV87" s="21">
        <f>EXP(-LN(2)/25)*AV86+(1-EXP(-LN(2)/25))/(LN(2)/25)*Calculateur!AQ87*Calculateur!AS87*VLOOKUP('Données projet'!$B$10,Paramètres!$A$1:$I$89,3,0)*0.475*44/12</f>
        <v>51.73362616367212</v>
      </c>
      <c r="AW87" s="21">
        <f>EXP(-LN(2)/2)*AW86+(1-EXP(-LN(2)/2))/(LN(2)/2)*AQ87*AT87*VLOOKUP('Données projet'!$B$10,Paramètres!$A$1:$I$89,3,0)*0.475*44/12</f>
        <v>0.11046854837827436</v>
      </c>
      <c r="AX87" s="21">
        <f t="shared" si="60"/>
        <v>210.7518036971147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-5.6843418860808015E-14</v>
      </c>
      <c r="BE87" s="13">
        <f>BD87*VLOOKUP('Données projet'!$B$11,Paramètres!$A$1:$I$89,3,0)*VLOOKUP('Données projet'!$B$11,Paramètres!$A$1:$I$89,5,0)</f>
        <v>-3.1036506698001178E-14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191.96190073146369</v>
      </c>
      <c r="BJ87" s="59">
        <f t="shared" si="92"/>
        <v>224.0560835232115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92.246087405466596</v>
      </c>
      <c r="BQ87" s="21">
        <f>EXP(-LN(2)/25)*BQ86+(1-EXP(-LN(2)/25))/(LN(2)/25)*Calculateur!BL87*Calculateur!BN87*VLOOKUP('Données projet'!$B$11,Paramètres!$A$1:$I$89,3,0)*0.475*44/12</f>
        <v>34.088223888480698</v>
      </c>
      <c r="BR87" s="21">
        <f>EXP(-LN(2)/2)*BR86+(1-EXP(-LN(2)/2))/(LN(2)/2)*BL87*BO87*VLOOKUP('Données projet'!$B$11,Paramètres!$A$1:$I$89,3,0)*0.475*44/12</f>
        <v>5.7766901675131974E-2</v>
      </c>
      <c r="BS87" s="22">
        <f t="shared" si="63"/>
        <v>126.39207819562243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-4.5474735088646412E-13</v>
      </c>
      <c r="O88" s="13">
        <f>N88*VLOOKUP('Données projet'!$B$9,Paramètres!$A$1:$I$89,3,0)*VLOOKUP('Données projet'!$B$9,Paramètres!$A$1:$I$89,5,0)</f>
        <v>-2.5420376914553347E-13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410.71046306000068</v>
      </c>
      <c r="T88" s="59">
        <f t="shared" si="88"/>
        <v>430.43167430170087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231.20978659929423</v>
      </c>
      <c r="AA88" s="21">
        <f>EXP(-LN(2)/25)*AA87+(1-EXP(-LN(2)/25))/(LN(2)/25)*Calculateur!V88*Calculateur!X88*VLOOKUP('Données projet'!$B$9,Paramètres!$A$1:$I$89,3,0)*0.475*44/12</f>
        <v>37.478696503476471</v>
      </c>
      <c r="AB88" s="21">
        <f>EXP(-LN(2)/2)*AB87+(1-EXP(-LN(2)/2))/(LN(2)/2)*V88*Y88*VLOOKUP('Données projet'!$B$9,Paramètres!$A$1:$I$89,3,0)*0.475*44/12</f>
        <v>4.4252528424468487E-2</v>
      </c>
      <c r="AC88" s="22">
        <f t="shared" si="57"/>
        <v>268.73273563119517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2.2737367544323206E-13</v>
      </c>
      <c r="AJ88" s="13">
        <f>AI88*VLOOKUP('Données projet'!$B$10,Paramètres!$A$1:$I$89,3,0)*VLOOKUP('Données projet'!$B$10,Paramètres!$A$1:$I$89,5,0)</f>
        <v>1.0049916454590858E-13</v>
      </c>
      <c r="AK88" s="13">
        <f t="shared" si="89"/>
        <v>1.5089081593838289E-12</v>
      </c>
      <c r="AL88" s="20">
        <f t="shared" si="58"/>
        <v>2.8030510891776262E-12</v>
      </c>
      <c r="AM88" s="59">
        <f t="shared" si="59"/>
        <v>293.3333333333361</v>
      </c>
      <c r="AN88" s="59">
        <f ca="1">AVERAGE(OFFSET($AM$3,0,0,'Données projet'!$E$10+1,1))-AVERAGE(OFFSET($H$3,0,0,'Données projet'!$E$10+1,1))</f>
        <v>343.36665824683809</v>
      </c>
      <c r="AO88" s="59">
        <f t="shared" si="90"/>
        <v>342.89042241858527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155.79162573599922</v>
      </c>
      <c r="AV88" s="21">
        <f>EXP(-LN(2)/25)*AV87+(1-EXP(-LN(2)/25))/(LN(2)/25)*Calculateur!AQ88*Calculateur!AS88*VLOOKUP('Données projet'!$B$10,Paramètres!$A$1:$I$89,3,0)*0.475*44/12</f>
        <v>50.318967435673343</v>
      </c>
      <c r="AW88" s="21">
        <f>EXP(-LN(2)/2)*AW87+(1-EXP(-LN(2)/2))/(LN(2)/2)*AQ88*AT88*VLOOKUP('Données projet'!$B$10,Paramètres!$A$1:$I$89,3,0)*0.475*44/12</f>
        <v>7.8113059666111984E-2</v>
      </c>
      <c r="AX88" s="21">
        <f t="shared" si="60"/>
        <v>206.1887062313387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-5.6843418860808015E-14</v>
      </c>
      <c r="BE88" s="13">
        <f>BD88*VLOOKUP('Données projet'!$B$11,Paramètres!$A$1:$I$89,3,0)*VLOOKUP('Données projet'!$B$11,Paramètres!$A$1:$I$89,5,0)</f>
        <v>-3.1036506698001178E-14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191.96190073146369</v>
      </c>
      <c r="BJ88" s="59">
        <f t="shared" si="92"/>
        <v>224.0560835232115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90.437197896003056</v>
      </c>
      <c r="BQ88" s="21">
        <f>EXP(-LN(2)/25)*BQ87+(1-EXP(-LN(2)/25))/(LN(2)/25)*Calculateur!BL88*Calculateur!BN88*VLOOKUP('Données projet'!$B$11,Paramètres!$A$1:$I$89,3,0)*0.475*44/12</f>
        <v>33.156079613628407</v>
      </c>
      <c r="BR88" s="21">
        <f>EXP(-LN(2)/2)*BR87+(1-EXP(-LN(2)/2))/(LN(2)/2)*BL88*BO88*VLOOKUP('Données projet'!$B$11,Paramètres!$A$1:$I$89,3,0)*0.475*44/12</f>
        <v>4.0847367902622354E-2</v>
      </c>
      <c r="BS88" s="22">
        <f t="shared" si="63"/>
        <v>123.63412487753409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-4.5474735088646412E-13</v>
      </c>
      <c r="O89" s="13">
        <f>N89*VLOOKUP('Données projet'!$B$9,Paramètres!$A$1:$I$89,3,0)*VLOOKUP('Données projet'!$B$9,Paramètres!$A$1:$I$89,5,0)</f>
        <v>-2.5420376914553347E-13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410.71046306000068</v>
      </c>
      <c r="T89" s="59">
        <f t="shared" si="88"/>
        <v>430.43167430170087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226.67590370812692</v>
      </c>
      <c r="AA89" s="21">
        <f>EXP(-LN(2)/25)*AA88+(1-EXP(-LN(2)/25))/(LN(2)/25)*Calculateur!V89*Calculateur!X89*VLOOKUP('Données projet'!$B$9,Paramètres!$A$1:$I$89,3,0)*0.475*44/12</f>
        <v>36.453839576669914</v>
      </c>
      <c r="AB89" s="21">
        <f>EXP(-LN(2)/2)*AB88+(1-EXP(-LN(2)/2))/(LN(2)/2)*V89*Y89*VLOOKUP('Données projet'!$B$9,Paramètres!$A$1:$I$89,3,0)*0.475*44/12</f>
        <v>3.1291262933592114E-2</v>
      </c>
      <c r="AC89" s="22">
        <f t="shared" si="57"/>
        <v>263.16103454773042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2.2737367544323206E-13</v>
      </c>
      <c r="AJ89" s="13">
        <f>AI89*VLOOKUP('Données projet'!$B$10,Paramètres!$A$1:$I$89,3,0)*VLOOKUP('Données projet'!$B$10,Paramètres!$A$1:$I$89,5,0)</f>
        <v>1.0049916454590858E-13</v>
      </c>
      <c r="AK89" s="13">
        <f t="shared" si="89"/>
        <v>1.5089081593838289E-12</v>
      </c>
      <c r="AL89" s="20">
        <f t="shared" si="58"/>
        <v>2.8030510891776262E-12</v>
      </c>
      <c r="AM89" s="59">
        <f t="shared" si="59"/>
        <v>293.3333333333361</v>
      </c>
      <c r="AN89" s="59">
        <f ca="1">AVERAGE(OFFSET($AM$3,0,0,'Données projet'!$E$10+1,1))-AVERAGE(OFFSET($H$3,0,0,'Données projet'!$E$10+1,1))</f>
        <v>343.36665824683809</v>
      </c>
      <c r="AO89" s="59">
        <f t="shared" si="90"/>
        <v>342.89042241858527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152.73664697882518</v>
      </c>
      <c r="AV89" s="21">
        <f>EXP(-LN(2)/25)*AV88+(1-EXP(-LN(2)/25))/(LN(2)/25)*Calculateur!AQ89*Calculateur!AS89*VLOOKUP('Données projet'!$B$10,Paramètres!$A$1:$I$89,3,0)*0.475*44/12</f>
        <v>48.942992624985365</v>
      </c>
      <c r="AW89" s="21">
        <f>EXP(-LN(2)/2)*AW88+(1-EXP(-LN(2)/2))/(LN(2)/2)*AQ89*AT89*VLOOKUP('Données projet'!$B$10,Paramètres!$A$1:$I$89,3,0)*0.475*44/12</f>
        <v>5.5234274189137178E-2</v>
      </c>
      <c r="AX89" s="21">
        <f t="shared" si="60"/>
        <v>201.73487387799966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-5.6843418860808015E-14</v>
      </c>
      <c r="BE89" s="13">
        <f>BD89*VLOOKUP('Données projet'!$B$11,Paramètres!$A$1:$I$89,3,0)*VLOOKUP('Données projet'!$B$11,Paramètres!$A$1:$I$89,5,0)</f>
        <v>-3.1036506698001178E-14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191.96190073146369</v>
      </c>
      <c r="BJ89" s="59">
        <f t="shared" si="92"/>
        <v>224.0560835232115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88.663779606506438</v>
      </c>
      <c r="BQ89" s="21">
        <f>EXP(-LN(2)/25)*BQ88+(1-EXP(-LN(2)/25))/(LN(2)/25)*Calculateur!BL89*Calculateur!BN89*VLOOKUP('Données projet'!$B$11,Paramètres!$A$1:$I$89,3,0)*0.475*44/12</f>
        <v>32.249424872991291</v>
      </c>
      <c r="BR89" s="21">
        <f>EXP(-LN(2)/2)*BR88+(1-EXP(-LN(2)/2))/(LN(2)/2)*BL89*BO89*VLOOKUP('Données projet'!$B$11,Paramètres!$A$1:$I$89,3,0)*0.475*44/12</f>
        <v>2.888345083756599E-2</v>
      </c>
      <c r="BS89" s="22">
        <f t="shared" si="63"/>
        <v>120.94208793033529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-4.5474735088646412E-13</v>
      </c>
      <c r="O90" s="13">
        <f>N90*VLOOKUP('Données projet'!$B$9,Paramètres!$A$1:$I$89,3,0)*VLOOKUP('Données projet'!$B$9,Paramètres!$A$1:$I$89,5,0)</f>
        <v>-2.5420376914553347E-13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410.71046306000068</v>
      </c>
      <c r="T90" s="59">
        <f t="shared" si="88"/>
        <v>430.43167430170087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222.23092749505992</v>
      </c>
      <c r="AA90" s="21">
        <f>EXP(-LN(2)/25)*AA89+(1-EXP(-LN(2)/25))/(LN(2)/25)*Calculateur!V90*Calculateur!X90*VLOOKUP('Données projet'!$B$9,Paramètres!$A$1:$I$89,3,0)*0.475*44/12</f>
        <v>35.457007416421767</v>
      </c>
      <c r="AB90" s="21">
        <f>EXP(-LN(2)/2)*AB89+(1-EXP(-LN(2)/2))/(LN(2)/2)*V90*Y90*VLOOKUP('Données projet'!$B$9,Paramètres!$A$1:$I$89,3,0)*0.475*44/12</f>
        <v>2.2126264212234244E-2</v>
      </c>
      <c r="AC90" s="22">
        <f t="shared" si="57"/>
        <v>257.71006117569397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2.2737367544323206E-13</v>
      </c>
      <c r="AJ90" s="13">
        <f>AI90*VLOOKUP('Données projet'!$B$10,Paramètres!$A$1:$I$89,3,0)*VLOOKUP('Données projet'!$B$10,Paramètres!$A$1:$I$89,5,0)</f>
        <v>1.0049916454590858E-13</v>
      </c>
      <c r="AK90" s="13">
        <f t="shared" si="89"/>
        <v>1.5089081593838289E-12</v>
      </c>
      <c r="AL90" s="20">
        <f t="shared" si="58"/>
        <v>2.8030510891776262E-12</v>
      </c>
      <c r="AM90" s="59">
        <f t="shared" si="59"/>
        <v>293.3333333333361</v>
      </c>
      <c r="AN90" s="59">
        <f ca="1">AVERAGE(OFFSET($AM$3,0,0,'Données projet'!$E$10+1,1))-AVERAGE(OFFSET($H$3,0,0,'Données projet'!$E$10+1,1))</f>
        <v>343.36665824683809</v>
      </c>
      <c r="AO90" s="59">
        <f t="shared" si="90"/>
        <v>342.89042241858527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149.74157449172628</v>
      </c>
      <c r="AV90" s="21">
        <f>EXP(-LN(2)/25)*AV89+(1-EXP(-LN(2)/25))/(LN(2)/25)*Calculateur!AQ90*Calculateur!AS90*VLOOKUP('Données projet'!$B$10,Paramètres!$A$1:$I$89,3,0)*0.475*44/12</f>
        <v>47.604643917855022</v>
      </c>
      <c r="AW90" s="21">
        <f>EXP(-LN(2)/2)*AW89+(1-EXP(-LN(2)/2))/(LN(2)/2)*AQ90*AT90*VLOOKUP('Données projet'!$B$10,Paramètres!$A$1:$I$89,3,0)*0.475*44/12</f>
        <v>3.9056529833055992E-2</v>
      </c>
      <c r="AX90" s="21">
        <f t="shared" si="60"/>
        <v>197.38527493941436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-5.6843418860808015E-14</v>
      </c>
      <c r="BE90" s="13">
        <f>BD90*VLOOKUP('Données projet'!$B$11,Paramètres!$A$1:$I$89,3,0)*VLOOKUP('Données projet'!$B$11,Paramètres!$A$1:$I$89,5,0)</f>
        <v>-3.1036506698001178E-14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191.96190073146369</v>
      </c>
      <c r="BJ90" s="59">
        <f t="shared" si="92"/>
        <v>224.0560835232115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86.925136967988493</v>
      </c>
      <c r="BQ90" s="21">
        <f>EXP(-LN(2)/25)*BQ89+(1-EXP(-LN(2)/25))/(LN(2)/25)*Calculateur!BL90*Calculateur!BN90*VLOOKUP('Données projet'!$B$11,Paramètres!$A$1:$I$89,3,0)*0.475*44/12</f>
        <v>31.367562653915797</v>
      </c>
      <c r="BR90" s="21">
        <f>EXP(-LN(2)/2)*BR89+(1-EXP(-LN(2)/2))/(LN(2)/2)*BL90*BO90*VLOOKUP('Données projet'!$B$11,Paramètres!$A$1:$I$89,3,0)*0.475*44/12</f>
        <v>2.0423683951311177E-2</v>
      </c>
      <c r="BS90" s="22">
        <f t="shared" si="63"/>
        <v>118.3131233058556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-4.5474735088646412E-13</v>
      </c>
      <c r="O91" s="13">
        <f>N91*VLOOKUP('Données projet'!$B$9,Paramètres!$A$1:$I$89,3,0)*VLOOKUP('Données projet'!$B$9,Paramètres!$A$1:$I$89,5,0)</f>
        <v>-2.5420376914553347E-13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410.71046306000068</v>
      </c>
      <c r="T91" s="59">
        <f t="shared" si="88"/>
        <v>430.43167430170087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217.87311455436335</v>
      </c>
      <c r="AA91" s="21">
        <f>EXP(-LN(2)/25)*AA90+(1-EXP(-LN(2)/25))/(LN(2)/25)*Calculateur!V91*Calculateur!X91*VLOOKUP('Données projet'!$B$9,Paramètres!$A$1:$I$89,3,0)*0.475*44/12</f>
        <v>34.487433684016729</v>
      </c>
      <c r="AB91" s="21">
        <f>EXP(-LN(2)/2)*AB90+(1-EXP(-LN(2)/2))/(LN(2)/2)*V91*Y91*VLOOKUP('Données projet'!$B$9,Paramètres!$A$1:$I$89,3,0)*0.475*44/12</f>
        <v>1.5645631466796057E-2</v>
      </c>
      <c r="AC91" s="22">
        <f t="shared" si="57"/>
        <v>252.37619386984687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2.2737367544323206E-13</v>
      </c>
      <c r="AJ91" s="13">
        <f>AI91*VLOOKUP('Données projet'!$B$10,Paramètres!$A$1:$I$89,3,0)*VLOOKUP('Données projet'!$B$10,Paramètres!$A$1:$I$89,5,0)</f>
        <v>1.0049916454590858E-13</v>
      </c>
      <c r="AK91" s="13">
        <f t="shared" si="89"/>
        <v>1.5089081593838289E-12</v>
      </c>
      <c r="AL91" s="20">
        <f t="shared" si="58"/>
        <v>2.8030510891776262E-12</v>
      </c>
      <c r="AM91" s="59">
        <f t="shared" si="59"/>
        <v>293.3333333333361</v>
      </c>
      <c r="AN91" s="59">
        <f ca="1">AVERAGE(OFFSET($AM$3,0,0,'Données projet'!$E$10+1,1))-AVERAGE(OFFSET($H$3,0,0,'Données projet'!$E$10+1,1))</f>
        <v>343.36665824683809</v>
      </c>
      <c r="AO91" s="59">
        <f t="shared" si="90"/>
        <v>342.89042241858527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146.80523354928556</v>
      </c>
      <c r="AV91" s="21">
        <f>EXP(-LN(2)/25)*AV90+(1-EXP(-LN(2)/25))/(LN(2)/25)*Calculateur!AQ91*Calculateur!AS91*VLOOKUP('Données projet'!$B$10,Paramètres!$A$1:$I$89,3,0)*0.475*44/12</f>
        <v>46.302892426501856</v>
      </c>
      <c r="AW91" s="21">
        <f>EXP(-LN(2)/2)*AW90+(1-EXP(-LN(2)/2))/(LN(2)/2)*AQ91*AT91*VLOOKUP('Données projet'!$B$10,Paramètres!$A$1:$I$89,3,0)*0.475*44/12</f>
        <v>2.7617137094568589E-2</v>
      </c>
      <c r="AX91" s="21">
        <f t="shared" si="60"/>
        <v>193.13574311288198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-5.6843418860808015E-14</v>
      </c>
      <c r="BE91" s="13">
        <f>BD91*VLOOKUP('Données projet'!$B$11,Paramètres!$A$1:$I$89,3,0)*VLOOKUP('Données projet'!$B$11,Paramètres!$A$1:$I$89,5,0)</f>
        <v>-3.1036506698001178E-14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191.96190073146369</v>
      </c>
      <c r="BJ91" s="59">
        <f t="shared" si="92"/>
        <v>224.0560835232115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85.220588051144588</v>
      </c>
      <c r="BQ91" s="21">
        <f>EXP(-LN(2)/25)*BQ90+(1-EXP(-LN(2)/25))/(LN(2)/25)*Calculateur!BL91*Calculateur!BN91*VLOOKUP('Données projet'!$B$11,Paramètres!$A$1:$I$89,3,0)*0.475*44/12</f>
        <v>30.509815003596042</v>
      </c>
      <c r="BR91" s="21">
        <f>EXP(-LN(2)/2)*BR90+(1-EXP(-LN(2)/2))/(LN(2)/2)*BL91*BO91*VLOOKUP('Données projet'!$B$11,Paramètres!$A$1:$I$89,3,0)*0.475*44/12</f>
        <v>1.4441725418782995E-2</v>
      </c>
      <c r="BS91" s="22">
        <f t="shared" si="63"/>
        <v>115.74484478015941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-4.5474735088646412E-13</v>
      </c>
      <c r="O92" s="13">
        <f>N92*VLOOKUP('Données projet'!$B$9,Paramètres!$A$1:$I$89,3,0)*VLOOKUP('Données projet'!$B$9,Paramètres!$A$1:$I$89,5,0)</f>
        <v>-2.5420376914553347E-13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410.71046306000068</v>
      </c>
      <c r="T92" s="59">
        <f t="shared" si="88"/>
        <v>430.43167430170087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213.60075566743043</v>
      </c>
      <c r="AA92" s="21">
        <f>EXP(-LN(2)/25)*AA91+(1-EXP(-LN(2)/25))/(LN(2)/25)*Calculateur!V92*Calculateur!X92*VLOOKUP('Données projet'!$B$9,Paramètres!$A$1:$I$89,3,0)*0.475*44/12</f>
        <v>33.544372996311978</v>
      </c>
      <c r="AB92" s="21">
        <f>EXP(-LN(2)/2)*AB91+(1-EXP(-LN(2)/2))/(LN(2)/2)*V92*Y92*VLOOKUP('Données projet'!$B$9,Paramètres!$A$1:$I$89,3,0)*0.475*44/12</f>
        <v>1.1063132106117122E-2</v>
      </c>
      <c r="AC92" s="22">
        <f t="shared" si="57"/>
        <v>247.15619179584854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2.2737367544323206E-13</v>
      </c>
      <c r="AJ92" s="13">
        <f>AI92*VLOOKUP('Données projet'!$B$10,Paramètres!$A$1:$I$89,3,0)*VLOOKUP('Données projet'!$B$10,Paramètres!$A$1:$I$89,5,0)</f>
        <v>1.0049916454590858E-13</v>
      </c>
      <c r="AK92" s="13">
        <f t="shared" si="89"/>
        <v>1.5089081593838289E-12</v>
      </c>
      <c r="AL92" s="20">
        <f t="shared" si="58"/>
        <v>2.8030510891776262E-12</v>
      </c>
      <c r="AM92" s="59">
        <f t="shared" si="59"/>
        <v>293.3333333333361</v>
      </c>
      <c r="AN92" s="59">
        <f ca="1">AVERAGE(OFFSET($AM$3,0,0,'Données projet'!$E$10+1,1))-AVERAGE(OFFSET($H$3,0,0,'Données projet'!$E$10+1,1))</f>
        <v>343.36665824683809</v>
      </c>
      <c r="AO92" s="59">
        <f t="shared" si="90"/>
        <v>342.89042241858527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143.92647246173496</v>
      </c>
      <c r="AV92" s="21">
        <f>EXP(-LN(2)/25)*AV91+(1-EXP(-LN(2)/25))/(LN(2)/25)*Calculateur!AQ92*Calculateur!AS92*VLOOKUP('Données projet'!$B$10,Paramètres!$A$1:$I$89,3,0)*0.475*44/12</f>
        <v>45.036737398135877</v>
      </c>
      <c r="AW92" s="21">
        <f>EXP(-LN(2)/2)*AW91+(1-EXP(-LN(2)/2))/(LN(2)/2)*AQ92*AT92*VLOOKUP('Données projet'!$B$10,Paramètres!$A$1:$I$89,3,0)*0.475*44/12</f>
        <v>1.9528264916527996E-2</v>
      </c>
      <c r="AX92" s="21">
        <f t="shared" si="60"/>
        <v>188.98273812478735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-5.6843418860808015E-14</v>
      </c>
      <c r="BE92" s="13">
        <f>BD92*VLOOKUP('Données projet'!$B$11,Paramètres!$A$1:$I$89,3,0)*VLOOKUP('Données projet'!$B$11,Paramètres!$A$1:$I$89,5,0)</f>
        <v>-3.1036506698001178E-14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191.96190073146369</v>
      </c>
      <c r="BJ92" s="59">
        <f t="shared" si="92"/>
        <v>224.0560835232115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83.549464298887813</v>
      </c>
      <c r="BQ92" s="21">
        <f>EXP(-LN(2)/25)*BQ91+(1-EXP(-LN(2)/25))/(LN(2)/25)*Calculateur!BL92*Calculateur!BN92*VLOOKUP('Données projet'!$B$11,Paramètres!$A$1:$I$89,3,0)*0.475*44/12</f>
        <v>29.675522507881269</v>
      </c>
      <c r="BR92" s="21">
        <f>EXP(-LN(2)/2)*BR91+(1-EXP(-LN(2)/2))/(LN(2)/2)*BL92*BO92*VLOOKUP('Données projet'!$B$11,Paramètres!$A$1:$I$89,3,0)*0.475*44/12</f>
        <v>1.0211841975655589E-2</v>
      </c>
      <c r="BS92" s="22">
        <f t="shared" si="63"/>
        <v>113.23519864874474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-4.5474735088646412E-13</v>
      </c>
      <c r="O93" s="13">
        <f>N93*VLOOKUP('Données projet'!$B$9,Paramètres!$A$1:$I$89,3,0)*VLOOKUP('Données projet'!$B$9,Paramètres!$A$1:$I$89,5,0)</f>
        <v>-2.5420376914553347E-13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410.71046306000068</v>
      </c>
      <c r="T93" s="59">
        <f t="shared" si="88"/>
        <v>430.43167430170087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209.41217513238865</v>
      </c>
      <c r="AA93" s="21">
        <f>EXP(-LN(2)/25)*AA92+(1-EXP(-LN(2)/25))/(LN(2)/25)*Calculateur!V93*Calculateur!X93*VLOOKUP('Données projet'!$B$9,Paramètres!$A$1:$I$89,3,0)*0.475*44/12</f>
        <v>32.627100352705916</v>
      </c>
      <c r="AB93" s="21">
        <f>EXP(-LN(2)/2)*AB92+(1-EXP(-LN(2)/2))/(LN(2)/2)*V93*Y93*VLOOKUP('Données projet'!$B$9,Paramètres!$A$1:$I$89,3,0)*0.475*44/12</f>
        <v>7.8228157333980284E-3</v>
      </c>
      <c r="AC93" s="22">
        <f t="shared" si="57"/>
        <v>242.04709830082797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2.2737367544323206E-13</v>
      </c>
      <c r="AJ93" s="13">
        <f>AI93*VLOOKUP('Données projet'!$B$10,Paramètres!$A$1:$I$89,3,0)*VLOOKUP('Données projet'!$B$10,Paramètres!$A$1:$I$89,5,0)</f>
        <v>1.0049916454590858E-13</v>
      </c>
      <c r="AK93" s="13">
        <f t="shared" si="89"/>
        <v>1.5089081593838289E-12</v>
      </c>
      <c r="AL93" s="20">
        <f t="shared" si="58"/>
        <v>2.8030510891776262E-12</v>
      </c>
      <c r="AM93" s="59">
        <f t="shared" si="59"/>
        <v>293.3333333333361</v>
      </c>
      <c r="AN93" s="59">
        <f ca="1">AVERAGE(OFFSET($AM$3,0,0,'Données projet'!$E$10+1,1))-AVERAGE(OFFSET($H$3,0,0,'Données projet'!$E$10+1,1))</f>
        <v>343.36665824683809</v>
      </c>
      <c r="AO93" s="59">
        <f t="shared" si="90"/>
        <v>342.89042241858527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141.10416212324034</v>
      </c>
      <c r="AV93" s="21">
        <f>EXP(-LN(2)/25)*AV92+(1-EXP(-LN(2)/25))/(LN(2)/25)*Calculateur!AQ93*Calculateur!AS93*VLOOKUP('Données projet'!$B$10,Paramètres!$A$1:$I$89,3,0)*0.475*44/12</f>
        <v>43.805205445604763</v>
      </c>
      <c r="AW93" s="21">
        <f>EXP(-LN(2)/2)*AW92+(1-EXP(-LN(2)/2))/(LN(2)/2)*AQ93*AT93*VLOOKUP('Données projet'!$B$10,Paramètres!$A$1:$I$89,3,0)*0.475*44/12</f>
        <v>1.3808568547284295E-2</v>
      </c>
      <c r="AX93" s="21">
        <f t="shared" si="60"/>
        <v>184.9231761373924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-5.6843418860808015E-14</v>
      </c>
      <c r="BE93" s="13">
        <f>BD93*VLOOKUP('Données projet'!$B$11,Paramètres!$A$1:$I$89,3,0)*VLOOKUP('Données projet'!$B$11,Paramètres!$A$1:$I$89,5,0)</f>
        <v>-3.1036506698001178E-14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191.96190073146369</v>
      </c>
      <c r="BJ93" s="59">
        <f t="shared" si="92"/>
        <v>224.0560835232115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81.911110264127956</v>
      </c>
      <c r="BQ93" s="21">
        <f>EXP(-LN(2)/25)*BQ92+(1-EXP(-LN(2)/25))/(LN(2)/25)*Calculateur!BL93*Calculateur!BN93*VLOOKUP('Données projet'!$B$11,Paramètres!$A$1:$I$89,3,0)*0.475*44/12</f>
        <v>28.864043784335351</v>
      </c>
      <c r="BR93" s="21">
        <f>EXP(-LN(2)/2)*BR92+(1-EXP(-LN(2)/2))/(LN(2)/2)*BL93*BO93*VLOOKUP('Données projet'!$B$11,Paramètres!$A$1:$I$89,3,0)*0.475*44/12</f>
        <v>7.2208627093914976E-3</v>
      </c>
      <c r="BS93" s="22">
        <f t="shared" si="63"/>
        <v>110.7823749111727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-4.5474735088646412E-13</v>
      </c>
      <c r="O94" s="13">
        <f>N94*VLOOKUP('Données projet'!$B$9,Paramètres!$A$1:$I$89,3,0)*VLOOKUP('Données projet'!$B$9,Paramètres!$A$1:$I$89,5,0)</f>
        <v>-2.5420376914553347E-13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410.71046306000068</v>
      </c>
      <c r="T94" s="59">
        <f t="shared" si="88"/>
        <v>430.43167430170087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205.30573010685717</v>
      </c>
      <c r="AA94" s="21">
        <f>EXP(-LN(2)/25)*AA93+(1-EXP(-LN(2)/25))/(LN(2)/25)*Calculateur!V94*Calculateur!X94*VLOOKUP('Données projet'!$B$9,Paramètres!$A$1:$I$89,3,0)*0.475*44/12</f>
        <v>31.734910577776535</v>
      </c>
      <c r="AB94" s="21">
        <f>EXP(-LN(2)/2)*AB93+(1-EXP(-LN(2)/2))/(LN(2)/2)*V94*Y94*VLOOKUP('Données projet'!$B$9,Paramètres!$A$1:$I$89,3,0)*0.475*44/12</f>
        <v>5.5315660530585609E-3</v>
      </c>
      <c r="AC94" s="22">
        <f t="shared" si="57"/>
        <v>237.04617225068677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2.2737367544323206E-13</v>
      </c>
      <c r="AJ94" s="13">
        <f>AI94*VLOOKUP('Données projet'!$B$10,Paramètres!$A$1:$I$89,3,0)*VLOOKUP('Données projet'!$B$10,Paramètres!$A$1:$I$89,5,0)</f>
        <v>1.0049916454590858E-13</v>
      </c>
      <c r="AK94" s="13">
        <f t="shared" si="89"/>
        <v>1.5089081593838289E-12</v>
      </c>
      <c r="AL94" s="20">
        <f t="shared" si="58"/>
        <v>2.8030510891776262E-12</v>
      </c>
      <c r="AM94" s="59">
        <f t="shared" si="59"/>
        <v>293.3333333333361</v>
      </c>
      <c r="AN94" s="59">
        <f ca="1">AVERAGE(OFFSET($AM$3,0,0,'Données projet'!$E$10+1,1))-AVERAGE(OFFSET($H$3,0,0,'Données projet'!$E$10+1,1))</f>
        <v>343.36665824683809</v>
      </c>
      <c r="AO94" s="59">
        <f t="shared" si="90"/>
        <v>342.89042241858527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138.33719556904427</v>
      </c>
      <c r="AV94" s="21">
        <f>EXP(-LN(2)/25)*AV93+(1-EXP(-LN(2)/25))/(LN(2)/25)*Calculateur!AQ94*Calculateur!AS94*VLOOKUP('Données projet'!$B$10,Paramètres!$A$1:$I$89,3,0)*0.475*44/12</f>
        <v>42.607349799079067</v>
      </c>
      <c r="AW94" s="21">
        <f>EXP(-LN(2)/2)*AW93+(1-EXP(-LN(2)/2))/(LN(2)/2)*AQ94*AT94*VLOOKUP('Données projet'!$B$10,Paramètres!$A$1:$I$89,3,0)*0.475*44/12</f>
        <v>9.7641324582639979E-3</v>
      </c>
      <c r="AX94" s="21">
        <f t="shared" si="60"/>
        <v>180.95430950058159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-3.1036506698001178E-14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191.96190073146369</v>
      </c>
      <c r="BJ94" s="59">
        <f t="shared" si="92"/>
        <v>224.0560835232115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80.304883352692443</v>
      </c>
      <c r="BQ94" s="21">
        <f>EXP(-LN(2)/25)*BQ93+(1-EXP(-LN(2)/25))/(LN(2)/25)*Calculateur!BL94*Calculateur!BN94*VLOOKUP('Données projet'!$B$11,Paramètres!$A$1:$I$89,3,0)*0.475*44/12</f>
        <v>28.074754989158606</v>
      </c>
      <c r="BR94" s="21">
        <f>EXP(-LN(2)/2)*BR93+(1-EXP(-LN(2)/2))/(LN(2)/2)*BL94*BO94*VLOOKUP('Données projet'!$B$11,Paramètres!$A$1:$I$89,3,0)*0.475*44/12</f>
        <v>5.1059209878277943E-3</v>
      </c>
      <c r="BS94" s="22">
        <f t="shared" si="63"/>
        <v>108.38474426283888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-4.5474735088646412E-13</v>
      </c>
      <c r="O95" s="13">
        <f>N95*VLOOKUP('Données projet'!$B$9,Paramètres!$A$1:$I$89,3,0)*VLOOKUP('Données projet'!$B$9,Paramètres!$A$1:$I$89,5,0)</f>
        <v>-2.5420376914553347E-13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410.71046306000068</v>
      </c>
      <c r="T95" s="59">
        <f t="shared" si="88"/>
        <v>430.43167430170087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201.27980996359221</v>
      </c>
      <c r="AA95" s="21">
        <f>EXP(-LN(2)/25)*AA94+(1-EXP(-LN(2)/25))/(LN(2)/25)*Calculateur!V95*Calculateur!X95*VLOOKUP('Données projet'!$B$9,Paramètres!$A$1:$I$89,3,0)*0.475*44/12</f>
        <v>30.867117779160818</v>
      </c>
      <c r="AB95" s="21">
        <f>EXP(-LN(2)/2)*AB94+(1-EXP(-LN(2)/2))/(LN(2)/2)*V95*Y95*VLOOKUP('Données projet'!$B$9,Paramètres!$A$1:$I$89,3,0)*0.475*44/12</f>
        <v>3.9114078666990142E-3</v>
      </c>
      <c r="AC95" s="22">
        <f t="shared" si="57"/>
        <v>232.15083915061973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2.2737367544323206E-13</v>
      </c>
      <c r="AJ95" s="13">
        <f>AI95*VLOOKUP('Données projet'!$B$10,Paramètres!$A$1:$I$89,3,0)*VLOOKUP('Données projet'!$B$10,Paramètres!$A$1:$I$89,5,0)</f>
        <v>1.0049916454590858E-13</v>
      </c>
      <c r="AK95" s="13">
        <f t="shared" si="89"/>
        <v>1.5089081593838289E-12</v>
      </c>
      <c r="AL95" s="20">
        <f t="shared" si="58"/>
        <v>2.8030510891776262E-12</v>
      </c>
      <c r="AM95" s="59">
        <f t="shared" si="59"/>
        <v>293.3333333333361</v>
      </c>
      <c r="AN95" s="59">
        <f ca="1">AVERAGE(OFFSET($AM$3,0,0,'Données projet'!$E$10+1,1))-AVERAGE(OFFSET($H$3,0,0,'Données projet'!$E$10+1,1))</f>
        <v>343.36665824683809</v>
      </c>
      <c r="AO95" s="59">
        <f t="shared" si="90"/>
        <v>342.89042241858527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135.62448754129304</v>
      </c>
      <c r="AV95" s="21">
        <f>EXP(-LN(2)/25)*AV94+(1-EXP(-LN(2)/25))/(LN(2)/25)*Calculateur!AQ95*Calculateur!AS95*VLOOKUP('Données projet'!$B$10,Paramètres!$A$1:$I$89,3,0)*0.475*44/12</f>
        <v>41.442249578200105</v>
      </c>
      <c r="AW95" s="21">
        <f>EXP(-LN(2)/2)*AW94+(1-EXP(-LN(2)/2))/(LN(2)/2)*AQ95*AT95*VLOOKUP('Données projet'!$B$10,Paramètres!$A$1:$I$89,3,0)*0.475*44/12</f>
        <v>6.9042842736421473E-3</v>
      </c>
      <c r="AX95" s="21">
        <f t="shared" si="60"/>
        <v>177.0736414037668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-3.1036506698001178E-14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191.96190073146369</v>
      </c>
      <c r="BJ95" s="59">
        <f t="shared" si="92"/>
        <v>224.0560835232115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78.730153571288497</v>
      </c>
      <c r="BQ95" s="21">
        <f>EXP(-LN(2)/25)*BQ94+(1-EXP(-LN(2)/25))/(LN(2)/25)*Calculateur!BL95*Calculateur!BN95*VLOOKUP('Données projet'!$B$11,Paramètres!$A$1:$I$89,3,0)*0.475*44/12</f>
        <v>27.307049337592865</v>
      </c>
      <c r="BR95" s="21">
        <f>EXP(-LN(2)/2)*BR94+(1-EXP(-LN(2)/2))/(LN(2)/2)*BL95*BO95*VLOOKUP('Données projet'!$B$11,Paramètres!$A$1:$I$89,3,0)*0.475*44/12</f>
        <v>3.6104313546957488E-3</v>
      </c>
      <c r="BS95" s="22">
        <f t="shared" si="63"/>
        <v>106.04081334023607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-4.5474735088646412E-13</v>
      </c>
      <c r="O96" s="13">
        <f>N96*VLOOKUP('Données projet'!$B$9,Paramètres!$A$1:$I$89,3,0)*VLOOKUP('Données projet'!$B$9,Paramètres!$A$1:$I$89,5,0)</f>
        <v>-2.5420376914553347E-13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410.71046306000068</v>
      </c>
      <c r="T96" s="59">
        <f t="shared" si="88"/>
        <v>430.43167430170087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197.33283565876786</v>
      </c>
      <c r="AA96" s="21">
        <f>EXP(-LN(2)/25)*AA95+(1-EXP(-LN(2)/25))/(LN(2)/25)*Calculateur!V96*Calculateur!X96*VLOOKUP('Données projet'!$B$9,Paramètres!$A$1:$I$89,3,0)*0.475*44/12</f>
        <v>30.023054820258491</v>
      </c>
      <c r="AB96" s="21">
        <f>EXP(-LN(2)/2)*AB95+(1-EXP(-LN(2)/2))/(LN(2)/2)*V96*Y96*VLOOKUP('Données projet'!$B$9,Paramètres!$A$1:$I$89,3,0)*0.475*44/12</f>
        <v>2.7657830265292805E-3</v>
      </c>
      <c r="AC96" s="22">
        <f t="shared" si="57"/>
        <v>227.35865626205288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2.2737367544323206E-13</v>
      </c>
      <c r="AJ96" s="13">
        <f>AI96*VLOOKUP('Données projet'!$B$10,Paramètres!$A$1:$I$89,3,0)*VLOOKUP('Données projet'!$B$10,Paramètres!$A$1:$I$89,5,0)</f>
        <v>1.0049916454590858E-13</v>
      </c>
      <c r="AK96" s="13">
        <f t="shared" si="89"/>
        <v>1.5089081593838289E-12</v>
      </c>
      <c r="AL96" s="20">
        <f t="shared" si="58"/>
        <v>2.8030510891776262E-12</v>
      </c>
      <c r="AM96" s="59">
        <f t="shared" si="59"/>
        <v>293.3333333333361</v>
      </c>
      <c r="AN96" s="59">
        <f ca="1">AVERAGE(OFFSET($AM$3,0,0,'Données projet'!$E$10+1,1))-AVERAGE(OFFSET($H$3,0,0,'Données projet'!$E$10+1,1))</f>
        <v>343.36665824683809</v>
      </c>
      <c r="AO96" s="59">
        <f t="shared" si="90"/>
        <v>342.89042241858527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132.9649740633775</v>
      </c>
      <c r="AV96" s="21">
        <f>EXP(-LN(2)/25)*AV95+(1-EXP(-LN(2)/25))/(LN(2)/25)*Calculateur!AQ96*Calculateur!AS96*VLOOKUP('Données projet'!$B$10,Paramètres!$A$1:$I$89,3,0)*0.475*44/12</f>
        <v>40.309009084131034</v>
      </c>
      <c r="AW96" s="21">
        <f>EXP(-LN(2)/2)*AW95+(1-EXP(-LN(2)/2))/(LN(2)/2)*AQ96*AT96*VLOOKUP('Données projet'!$B$10,Paramètres!$A$1:$I$89,3,0)*0.475*44/12</f>
        <v>4.882066229131999E-3</v>
      </c>
      <c r="AX96" s="21">
        <f t="shared" si="60"/>
        <v>173.27886521373767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-3.1036506698001178E-14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191.96190073146369</v>
      </c>
      <c r="BJ96" s="59">
        <f t="shared" si="92"/>
        <v>224.0560835232115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77.186303280407557</v>
      </c>
      <c r="BQ96" s="21">
        <f>EXP(-LN(2)/25)*BQ95+(1-EXP(-LN(2)/25))/(LN(2)/25)*Calculateur!BL96*Calculateur!BN96*VLOOKUP('Données projet'!$B$11,Paramètres!$A$1:$I$89,3,0)*0.475*44/12</f>
        <v>26.560336637441075</v>
      </c>
      <c r="BR96" s="21">
        <f>EXP(-LN(2)/2)*BR95+(1-EXP(-LN(2)/2))/(LN(2)/2)*BL96*BO96*VLOOKUP('Données projet'!$B$11,Paramètres!$A$1:$I$89,3,0)*0.475*44/12</f>
        <v>2.5529604939138971E-3</v>
      </c>
      <c r="BS96" s="22">
        <f t="shared" si="63"/>
        <v>103.74919287834254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-4.5474735088646412E-13</v>
      </c>
      <c r="O97" s="13">
        <f>N97*VLOOKUP('Données projet'!$B$9,Paramètres!$A$1:$I$89,3,0)*VLOOKUP('Données projet'!$B$9,Paramètres!$A$1:$I$89,5,0)</f>
        <v>-2.5420376914553347E-13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410.71046306000068</v>
      </c>
      <c r="T97" s="59">
        <f t="shared" si="88"/>
        <v>430.43167430170087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193.46325911264449</v>
      </c>
      <c r="AA97" s="21">
        <f>EXP(-LN(2)/25)*AA96+(1-EXP(-LN(2)/25))/(LN(2)/25)*Calculateur!V97*Calculateur!X97*VLOOKUP('Données projet'!$B$9,Paramètres!$A$1:$I$89,3,0)*0.475*44/12</f>
        <v>29.202072807354689</v>
      </c>
      <c r="AB97" s="21">
        <f>EXP(-LN(2)/2)*AB96+(1-EXP(-LN(2)/2))/(LN(2)/2)*V97*Y97*VLOOKUP('Données projet'!$B$9,Paramètres!$A$1:$I$89,3,0)*0.475*44/12</f>
        <v>1.9557039333495071E-3</v>
      </c>
      <c r="AC97" s="22">
        <f t="shared" si="57"/>
        <v>222.66728762393254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2.2737367544323206E-13</v>
      </c>
      <c r="AJ97" s="13">
        <f>AI97*VLOOKUP('Données projet'!$B$10,Paramètres!$A$1:$I$89,3,0)*VLOOKUP('Données projet'!$B$10,Paramètres!$A$1:$I$89,5,0)</f>
        <v>1.0049916454590858E-13</v>
      </c>
      <c r="AK97" s="13">
        <f t="shared" si="89"/>
        <v>1.5089081593838289E-12</v>
      </c>
      <c r="AL97" s="20">
        <f t="shared" si="58"/>
        <v>2.8030510891776262E-12</v>
      </c>
      <c r="AM97" s="59">
        <f t="shared" si="59"/>
        <v>293.3333333333361</v>
      </c>
      <c r="AN97" s="59">
        <f ca="1">AVERAGE(OFFSET($AM$3,0,0,'Données projet'!$E$10+1,1))-AVERAGE(OFFSET($H$3,0,0,'Données projet'!$E$10+1,1))</f>
        <v>343.36665824683809</v>
      </c>
      <c r="AO97" s="59">
        <f t="shared" si="90"/>
        <v>342.89042241858527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130.35761202262083</v>
      </c>
      <c r="AV97" s="21">
        <f>EXP(-LN(2)/25)*AV96+(1-EXP(-LN(2)/25))/(LN(2)/25)*Calculateur!AQ97*Calculateur!AS97*VLOOKUP('Données projet'!$B$10,Paramètres!$A$1:$I$89,3,0)*0.475*44/12</f>
        <v>39.206757110966812</v>
      </c>
      <c r="AW97" s="21">
        <f>EXP(-LN(2)/2)*AW96+(1-EXP(-LN(2)/2))/(LN(2)/2)*AQ97*AT97*VLOOKUP('Données projet'!$B$10,Paramètres!$A$1:$I$89,3,0)*0.475*44/12</f>
        <v>3.4521421368210736E-3</v>
      </c>
      <c r="AX97" s="21">
        <f t="shared" si="60"/>
        <v>169.56782127572444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-3.1036506698001178E-14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191.96190073146369</v>
      </c>
      <c r="BJ97" s="59">
        <f t="shared" si="92"/>
        <v>224.0560835232115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75.672726952075095</v>
      </c>
      <c r="BQ97" s="21">
        <f>EXP(-LN(2)/25)*BQ96+(1-EXP(-LN(2)/25))/(LN(2)/25)*Calculateur!BL97*Calculateur!BN97*VLOOKUP('Données projet'!$B$11,Paramètres!$A$1:$I$89,3,0)*0.475*44/12</f>
        <v>25.834042835342849</v>
      </c>
      <c r="BR97" s="21">
        <f>EXP(-LN(2)/2)*BR96+(1-EXP(-LN(2)/2))/(LN(2)/2)*BL97*BO97*VLOOKUP('Données projet'!$B$11,Paramètres!$A$1:$I$89,3,0)*0.475*44/12</f>
        <v>1.8052156773478744E-3</v>
      </c>
      <c r="BS97" s="22">
        <f t="shared" si="63"/>
        <v>101.50857500309529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-4.5474735088646412E-13</v>
      </c>
      <c r="O98" s="13">
        <f>N98*VLOOKUP('Données projet'!$B$9,Paramètres!$A$1:$I$89,3,0)*VLOOKUP('Données projet'!$B$9,Paramètres!$A$1:$I$89,5,0)</f>
        <v>-2.5420376914553347E-13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410.71046306000068</v>
      </c>
      <c r="T98" s="59">
        <f t="shared" si="88"/>
        <v>430.43167430170087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189.66956260238197</v>
      </c>
      <c r="AA98" s="21">
        <f>EXP(-LN(2)/25)*AA97+(1-EXP(-LN(2)/25))/(LN(2)/25)*Calculateur!V98*Calculateur!X98*VLOOKUP('Données projet'!$B$9,Paramètres!$A$1:$I$89,3,0)*0.475*44/12</f>
        <v>28.40354059076731</v>
      </c>
      <c r="AB98" s="21">
        <f>EXP(-LN(2)/2)*AB97+(1-EXP(-LN(2)/2))/(LN(2)/2)*V98*Y98*VLOOKUP('Données projet'!$B$9,Paramètres!$A$1:$I$89,3,0)*0.475*44/12</f>
        <v>1.3828915132646402E-3</v>
      </c>
      <c r="AC98" s="22">
        <f t="shared" si="57"/>
        <v>218.07448608466254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2.2737367544323206E-13</v>
      </c>
      <c r="AJ98" s="13">
        <f>AI98*VLOOKUP('Données projet'!$B$10,Paramètres!$A$1:$I$89,3,0)*VLOOKUP('Données projet'!$B$10,Paramètres!$A$1:$I$89,5,0)</f>
        <v>1.0049916454590858E-13</v>
      </c>
      <c r="AK98" s="13">
        <f t="shared" si="89"/>
        <v>1.5089081593838289E-12</v>
      </c>
      <c r="AL98" s="20">
        <f t="shared" si="58"/>
        <v>2.8030510891776262E-12</v>
      </c>
      <c r="AM98" s="59">
        <f t="shared" si="59"/>
        <v>293.3333333333361</v>
      </c>
      <c r="AN98" s="59">
        <f ca="1">AVERAGE(OFFSET($AM$3,0,0,'Données projet'!$E$10+1,1))-AVERAGE(OFFSET($H$3,0,0,'Données projet'!$E$10+1,1))</f>
        <v>343.36665824683809</v>
      </c>
      <c r="AO98" s="59">
        <f t="shared" si="90"/>
        <v>342.89042241858527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127.80137876114958</v>
      </c>
      <c r="AV98" s="21">
        <f>EXP(-LN(2)/25)*AV97+(1-EXP(-LN(2)/25))/(LN(2)/25)*Calculateur!AQ98*Calculateur!AS98*VLOOKUP('Données projet'!$B$10,Paramètres!$A$1:$I$89,3,0)*0.475*44/12</f>
        <v>38.13464627597368</v>
      </c>
      <c r="AW98" s="21">
        <f>EXP(-LN(2)/2)*AW97+(1-EXP(-LN(2)/2))/(LN(2)/2)*AQ98*AT98*VLOOKUP('Données projet'!$B$10,Paramètres!$A$1:$I$89,3,0)*0.475*44/12</f>
        <v>2.4410331145659995E-3</v>
      </c>
      <c r="AX98" s="21">
        <f t="shared" si="60"/>
        <v>165.93846607023784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-3.1036506698001178E-14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191.96190073146369</v>
      </c>
      <c r="BJ98" s="59">
        <f t="shared" si="92"/>
        <v>224.0560835232115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74.188830932350839</v>
      </c>
      <c r="BQ98" s="21">
        <f>EXP(-LN(2)/25)*BQ97+(1-EXP(-LN(2)/25))/(LN(2)/25)*Calculateur!BL98*Calculateur!BN98*VLOOKUP('Données projet'!$B$11,Paramètres!$A$1:$I$89,3,0)*0.475*44/12</f>
        <v>25.127609575457132</v>
      </c>
      <c r="BR98" s="21">
        <f>EXP(-LN(2)/2)*BR97+(1-EXP(-LN(2)/2))/(LN(2)/2)*BL98*BO98*VLOOKUP('Données projet'!$B$11,Paramètres!$A$1:$I$89,3,0)*0.475*44/12</f>
        <v>1.2764802469569486E-3</v>
      </c>
      <c r="BS98" s="22">
        <f t="shared" si="63"/>
        <v>99.317716988054926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-4.5474735088646412E-13</v>
      </c>
      <c r="O99" s="13">
        <f>N99*VLOOKUP('Données projet'!$B$9,Paramètres!$A$1:$I$89,3,0)*VLOOKUP('Données projet'!$B$9,Paramètres!$A$1:$I$89,5,0)</f>
        <v>-2.5420376914553347E-13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410.71046306000068</v>
      </c>
      <c r="T99" s="59">
        <f t="shared" si="88"/>
        <v>430.43167430170087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185.95025816675931</v>
      </c>
      <c r="AA99" s="21">
        <f>EXP(-LN(2)/25)*AA98+(1-EXP(-LN(2)/25))/(LN(2)/25)*Calculateur!V99*Calculateur!X99*VLOOKUP('Données projet'!$B$9,Paramètres!$A$1:$I$89,3,0)*0.475*44/12</f>
        <v>27.626844279635495</v>
      </c>
      <c r="AB99" s="21">
        <f>EXP(-LN(2)/2)*AB98+(1-EXP(-LN(2)/2))/(LN(2)/2)*V99*Y99*VLOOKUP('Données projet'!$B$9,Paramètres!$A$1:$I$89,3,0)*0.475*44/12</f>
        <v>9.7785196667475355E-4</v>
      </c>
      <c r="AC99" s="22">
        <f t="shared" si="57"/>
        <v>213.57808029836147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2.2737367544323206E-13</v>
      </c>
      <c r="AJ99" s="13">
        <f>AI99*VLOOKUP('Données projet'!$B$10,Paramètres!$A$1:$I$89,3,0)*VLOOKUP('Données projet'!$B$10,Paramètres!$A$1:$I$89,5,0)</f>
        <v>1.0049916454590858E-13</v>
      </c>
      <c r="AK99" s="13">
        <f t="shared" si="89"/>
        <v>1.5089081593838289E-12</v>
      </c>
      <c r="AL99" s="20">
        <f t="shared" si="58"/>
        <v>2.8030510891776262E-12</v>
      </c>
      <c r="AM99" s="59">
        <f t="shared" si="59"/>
        <v>293.3333333333361</v>
      </c>
      <c r="AN99" s="59">
        <f ca="1">AVERAGE(OFFSET($AM$3,0,0,'Données projet'!$E$10+1,1))-AVERAGE(OFFSET($H$3,0,0,'Données projet'!$E$10+1,1))</f>
        <v>343.36665824683809</v>
      </c>
      <c r="AO99" s="59">
        <f t="shared" si="90"/>
        <v>342.89042241858527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125.29527167478744</v>
      </c>
      <c r="AV99" s="21">
        <f>EXP(-LN(2)/25)*AV98+(1-EXP(-LN(2)/25))/(LN(2)/25)*Calculateur!AQ99*Calculateur!AS99*VLOOKUP('Données projet'!$B$10,Paramètres!$A$1:$I$89,3,0)*0.475*44/12</f>
        <v>37.091852368143293</v>
      </c>
      <c r="AW99" s="21">
        <f>EXP(-LN(2)/2)*AW98+(1-EXP(-LN(2)/2))/(LN(2)/2)*AQ99*AT99*VLOOKUP('Données projet'!$B$10,Paramètres!$A$1:$I$89,3,0)*0.475*44/12</f>
        <v>1.7260710684105368E-3</v>
      </c>
      <c r="AX99" s="21">
        <f t="shared" si="60"/>
        <v>162.38885011399915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-3.1036506698001178E-14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191.96190073146369</v>
      </c>
      <c r="BJ99" s="59">
        <f t="shared" si="92"/>
        <v>224.0560835232115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72.734033208486167</v>
      </c>
      <c r="BQ99" s="21">
        <f>EXP(-LN(2)/25)*BQ98+(1-EXP(-LN(2)/25))/(LN(2)/25)*Calculateur!BL99*Calculateur!BN99*VLOOKUP('Données projet'!$B$11,Paramètres!$A$1:$I$89,3,0)*0.475*44/12</f>
        <v>24.440493770212701</v>
      </c>
      <c r="BR99" s="21">
        <f>EXP(-LN(2)/2)*BR98+(1-EXP(-LN(2)/2))/(LN(2)/2)*BL99*BO99*VLOOKUP('Données projet'!$B$11,Paramètres!$A$1:$I$89,3,0)*0.475*44/12</f>
        <v>9.026078386739372E-4</v>
      </c>
      <c r="BS99" s="22">
        <f t="shared" si="63"/>
        <v>97.175429586537533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-4.5474735088646412E-13</v>
      </c>
      <c r="O100" s="13">
        <f>N100*VLOOKUP('Données projet'!$B$9,Paramètres!$A$1:$I$89,3,0)*VLOOKUP('Données projet'!$B$9,Paramètres!$A$1:$I$89,5,0)</f>
        <v>-2.5420376914553347E-13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410.71046306000068</v>
      </c>
      <c r="T100" s="59">
        <f t="shared" si="88"/>
        <v>430.43167430170087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182.30388702256749</v>
      </c>
      <c r="AA100" s="21">
        <f>EXP(-LN(2)/25)*AA99+(1-EXP(-LN(2)/25))/(LN(2)/25)*Calculateur!V100*Calculateur!X100*VLOOKUP('Données projet'!$B$9,Paramètres!$A$1:$I$89,3,0)*0.475*44/12</f>
        <v>26.871386769976265</v>
      </c>
      <c r="AB100" s="21">
        <f>EXP(-LN(2)/2)*AB99+(1-EXP(-LN(2)/2))/(LN(2)/2)*V100*Y100*VLOOKUP('Données projet'!$B$9,Paramètres!$A$1:$I$89,3,0)*0.475*44/12</f>
        <v>6.9144575663232012E-4</v>
      </c>
      <c r="AC100" s="22">
        <f t="shared" si="57"/>
        <v>209.17596523830039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2.2737367544323206E-13</v>
      </c>
      <c r="AJ100" s="13">
        <f>AI100*VLOOKUP('Données projet'!$B$10,Paramètres!$A$1:$I$89,3,0)*VLOOKUP('Données projet'!$B$10,Paramètres!$A$1:$I$89,5,0)</f>
        <v>1.0049916454590858E-13</v>
      </c>
      <c r="AK100" s="13">
        <f t="shared" si="89"/>
        <v>1.5089081593838289E-12</v>
      </c>
      <c r="AL100" s="20">
        <f t="shared" si="58"/>
        <v>2.8030510891776262E-12</v>
      </c>
      <c r="AM100" s="59">
        <f t="shared" si="59"/>
        <v>293.3333333333361</v>
      </c>
      <c r="AN100" s="59">
        <f ca="1">AVERAGE(OFFSET($AM$3,0,0,'Données projet'!$E$10+1,1))-AVERAGE(OFFSET($H$3,0,0,'Données projet'!$E$10+1,1))</f>
        <v>343.36665824683809</v>
      </c>
      <c r="AO100" s="59">
        <f t="shared" si="90"/>
        <v>342.89042241858527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122.83830781981447</v>
      </c>
      <c r="AV100" s="21">
        <f>EXP(-LN(2)/25)*AV99+(1-EXP(-LN(2)/25))/(LN(2)/25)*Calculateur!AQ100*Calculateur!AS100*VLOOKUP('Données projet'!$B$10,Paramètres!$A$1:$I$89,3,0)*0.475*44/12</f>
        <v>36.077573714560671</v>
      </c>
      <c r="AW100" s="21">
        <f>EXP(-LN(2)/2)*AW99+(1-EXP(-LN(2)/2))/(LN(2)/2)*AQ100*AT100*VLOOKUP('Données projet'!$B$10,Paramètres!$A$1:$I$89,3,0)*0.475*44/12</f>
        <v>1.2205165572829997E-3</v>
      </c>
      <c r="AX100" s="21">
        <f t="shared" si="60"/>
        <v>158.91710205093244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-3.1036506698001178E-14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191.96190073146369</v>
      </c>
      <c r="BJ100" s="59">
        <f t="shared" si="92"/>
        <v>224.0560835232115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71.307763180647484</v>
      </c>
      <c r="BQ100" s="21">
        <f>EXP(-LN(2)/25)*BQ99+(1-EXP(-LN(2)/25))/(LN(2)/25)*Calculateur!BL100*Calculateur!BN100*VLOOKUP('Données projet'!$B$11,Paramètres!$A$1:$I$89,3,0)*0.475*44/12</f>
        <v>23.772167182796526</v>
      </c>
      <c r="BR100" s="21">
        <f>EXP(-LN(2)/2)*BR99+(1-EXP(-LN(2)/2))/(LN(2)/2)*BL100*BO100*VLOOKUP('Données projet'!$B$11,Paramètres!$A$1:$I$89,3,0)*0.475*44/12</f>
        <v>6.3824012347847429E-4</v>
      </c>
      <c r="BS100" s="22">
        <f t="shared" si="63"/>
        <v>95.080568603567485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-4.5474735088646412E-13</v>
      </c>
      <c r="O101" s="13">
        <f>N101*VLOOKUP('Données projet'!$B$9,Paramètres!$A$1:$I$89,3,0)*VLOOKUP('Données projet'!$B$9,Paramètres!$A$1:$I$89,5,0)</f>
        <v>-2.5420376914553347E-13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410.71046306000068</v>
      </c>
      <c r="T101" s="59">
        <f t="shared" si="88"/>
        <v>430.43167430170087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178.7290189924465</v>
      </c>
      <c r="AA101" s="21">
        <f>EXP(-LN(2)/25)*AA100+(1-EXP(-LN(2)/25))/(LN(2)/25)*Calculateur!V101*Calculateur!X101*VLOOKUP('Données projet'!$B$9,Paramètres!$A$1:$I$89,3,0)*0.475*44/12</f>
        <v>26.136587285646449</v>
      </c>
      <c r="AB101" s="21">
        <f>EXP(-LN(2)/2)*AB100+(1-EXP(-LN(2)/2))/(LN(2)/2)*V101*Y101*VLOOKUP('Données projet'!$B$9,Paramètres!$A$1:$I$89,3,0)*0.475*44/12</f>
        <v>4.8892598333737677E-4</v>
      </c>
      <c r="AC101" s="22">
        <f t="shared" si="57"/>
        <v>204.86609520407629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2.2737367544323206E-13</v>
      </c>
      <c r="AJ101" s="13">
        <f>AI101*VLOOKUP('Données projet'!$B$10,Paramètres!$A$1:$I$89,3,0)*VLOOKUP('Données projet'!$B$10,Paramètres!$A$1:$I$89,5,0)</f>
        <v>1.0049916454590858E-13</v>
      </c>
      <c r="AK101" s="13">
        <f t="shared" si="89"/>
        <v>1.5089081593838289E-12</v>
      </c>
      <c r="AL101" s="20">
        <f t="shared" si="58"/>
        <v>2.8030510891776262E-12</v>
      </c>
      <c r="AM101" s="59">
        <f t="shared" si="59"/>
        <v>293.3333333333361</v>
      </c>
      <c r="AN101" s="59">
        <f ca="1">AVERAGE(OFFSET($AM$3,0,0,'Données projet'!$E$10+1,1))-AVERAGE(OFFSET($H$3,0,0,'Données projet'!$E$10+1,1))</f>
        <v>343.36665824683809</v>
      </c>
      <c r="AO101" s="59">
        <f t="shared" si="90"/>
        <v>342.89042241858527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120.42952352743755</v>
      </c>
      <c r="AV101" s="21">
        <f>EXP(-LN(2)/25)*AV100+(1-EXP(-LN(2)/25))/(LN(2)/25)*Calculateur!AQ101*Calculateur!AS101*VLOOKUP('Données projet'!$B$10,Paramètres!$A$1:$I$89,3,0)*0.475*44/12</f>
        <v>35.091030564098865</v>
      </c>
      <c r="AW101" s="21">
        <f>EXP(-LN(2)/2)*AW100+(1-EXP(-LN(2)/2))/(LN(2)/2)*AQ101*AT101*VLOOKUP('Données projet'!$B$10,Paramètres!$A$1:$I$89,3,0)*0.475*44/12</f>
        <v>8.6303553420526841E-4</v>
      </c>
      <c r="AX101" s="21">
        <f t="shared" si="60"/>
        <v>155.52141712707061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-3.1036506698001178E-14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191.96190073146369</v>
      </c>
      <c r="BJ101" s="59">
        <f t="shared" si="92"/>
        <v>224.0560835232115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69.909461438115912</v>
      </c>
      <c r="BQ101" s="21">
        <f>EXP(-LN(2)/25)*BQ100+(1-EXP(-LN(2)/25))/(LN(2)/25)*Calculateur!BL101*Calculateur!BN101*VLOOKUP('Données projet'!$B$11,Paramètres!$A$1:$I$89,3,0)*0.475*44/12</f>
        <v>23.122116021059014</v>
      </c>
      <c r="BR101" s="21">
        <f>EXP(-LN(2)/2)*BR100+(1-EXP(-LN(2)/2))/(LN(2)/2)*BL101*BO101*VLOOKUP('Données projet'!$B$11,Paramètres!$A$1:$I$89,3,0)*0.475*44/12</f>
        <v>4.513039193369686E-4</v>
      </c>
      <c r="BS101" s="22">
        <f t="shared" si="63"/>
        <v>93.03202876309426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-4.5474735088646412E-13</v>
      </c>
      <c r="O102" s="13">
        <f>N102*VLOOKUP('Données projet'!$B$9,Paramètres!$A$1:$I$89,3,0)*VLOOKUP('Données projet'!$B$9,Paramètres!$A$1:$I$89,5,0)</f>
        <v>-2.5420376914553347E-13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410.71046306000068</v>
      </c>
      <c r="T102" s="59">
        <f t="shared" si="88"/>
        <v>430.43167430170087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175.22425194394197</v>
      </c>
      <c r="AA102" s="21">
        <f>EXP(-LN(2)/25)*AA101+(1-EXP(-LN(2)/25))/(LN(2)/25)*Calculateur!V102*Calculateur!X102*VLOOKUP('Données projet'!$B$9,Paramètres!$A$1:$I$89,3,0)*0.475*44/12</f>
        <v>25.421880931857057</v>
      </c>
      <c r="AB102" s="21">
        <f>EXP(-LN(2)/2)*AB101+(1-EXP(-LN(2)/2))/(LN(2)/2)*V102*Y102*VLOOKUP('Données projet'!$B$9,Paramètres!$A$1:$I$89,3,0)*0.475*44/12</f>
        <v>3.4572287831616006E-4</v>
      </c>
      <c r="AC102" s="22">
        <f t="shared" si="57"/>
        <v>200.64647859867733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2.2737367544323206E-13</v>
      </c>
      <c r="AJ102" s="13">
        <f>AI102*VLOOKUP('Données projet'!$B$10,Paramètres!$A$1:$I$89,3,0)*VLOOKUP('Données projet'!$B$10,Paramètres!$A$1:$I$89,5,0)</f>
        <v>1.0049916454590858E-13</v>
      </c>
      <c r="AK102" s="13">
        <f t="shared" si="89"/>
        <v>1.5089081593838289E-12</v>
      </c>
      <c r="AL102" s="20">
        <f t="shared" si="58"/>
        <v>2.8030510891776262E-12</v>
      </c>
      <c r="AM102" s="59">
        <f t="shared" si="59"/>
        <v>293.3333333333361</v>
      </c>
      <c r="AN102" s="59">
        <f ca="1">AVERAGE(OFFSET($AM$3,0,0,'Données projet'!$E$10+1,1))-AVERAGE(OFFSET($H$3,0,0,'Données projet'!$E$10+1,1))</f>
        <v>343.36665824683809</v>
      </c>
      <c r="AO102" s="59">
        <f t="shared" si="90"/>
        <v>342.89042241858527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118.0679740258208</v>
      </c>
      <c r="AV102" s="21">
        <f>EXP(-LN(2)/25)*AV101+(1-EXP(-LN(2)/25))/(LN(2)/25)*Calculateur!AQ102*Calculateur!AS102*VLOOKUP('Données projet'!$B$10,Paramètres!$A$1:$I$89,3,0)*0.475*44/12</f>
        <v>34.13146448796649</v>
      </c>
      <c r="AW102" s="21">
        <f>EXP(-LN(2)/2)*AW101+(1-EXP(-LN(2)/2))/(LN(2)/2)*AQ102*AT102*VLOOKUP('Données projet'!$B$10,Paramètres!$A$1:$I$89,3,0)*0.475*44/12</f>
        <v>6.1025827864149987E-4</v>
      </c>
      <c r="AX102" s="21">
        <f t="shared" si="60"/>
        <v>152.20004877206594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-3.1036506698001178E-14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191.96190073146369</v>
      </c>
      <c r="BJ102" s="59">
        <f t="shared" si="92"/>
        <v>224.0560835232115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68.538579539875528</v>
      </c>
      <c r="BQ102" s="21">
        <f>EXP(-LN(2)/25)*BQ101+(1-EXP(-LN(2)/25))/(LN(2)/25)*Calculateur!BL102*Calculateur!BN102*VLOOKUP('Données projet'!$B$11,Paramètres!$A$1:$I$89,3,0)*0.475*44/12</f>
        <v>22.489840542523922</v>
      </c>
      <c r="BR102" s="21">
        <f>EXP(-LN(2)/2)*BR101+(1-EXP(-LN(2)/2))/(LN(2)/2)*BL102*BO102*VLOOKUP('Données projet'!$B$11,Paramètres!$A$1:$I$89,3,0)*0.475*44/12</f>
        <v>3.1912006173923714E-4</v>
      </c>
      <c r="BS102" s="22">
        <f t="shared" si="63"/>
        <v>91.028739202461182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-4.5474735088646412E-13</v>
      </c>
      <c r="O103" s="13">
        <f>N103*VLOOKUP('Données projet'!$B$9,Paramètres!$A$1:$I$89,3,0)*VLOOKUP('Données projet'!$B$9,Paramètres!$A$1:$I$89,5,0)</f>
        <v>-2.5420376914553347E-13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410.71046306000068</v>
      </c>
      <c r="T103" s="59">
        <f t="shared" si="88"/>
        <v>430.43167430170087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171.7882112395618</v>
      </c>
      <c r="AA103" s="21">
        <f>EXP(-LN(2)/25)*AA102+(1-EXP(-LN(2)/25))/(LN(2)/25)*Calculateur!V103*Calculateur!X103*VLOOKUP('Données projet'!$B$9,Paramètres!$A$1:$I$89,3,0)*0.475*44/12</f>
        <v>24.72671826089681</v>
      </c>
      <c r="AB103" s="21">
        <f>EXP(-LN(2)/2)*AB102+(1-EXP(-LN(2)/2))/(LN(2)/2)*V103*Y103*VLOOKUP('Données projet'!$B$9,Paramètres!$A$1:$I$89,3,0)*0.475*44/12</f>
        <v>2.4446299166868839E-4</v>
      </c>
      <c r="AC103" s="22">
        <f t="shared" si="57"/>
        <v>196.51517396345028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2.2737367544323206E-13</v>
      </c>
      <c r="AJ103" s="13">
        <f>AI103*VLOOKUP('Données projet'!$B$10,Paramètres!$A$1:$I$89,3,0)*VLOOKUP('Données projet'!$B$10,Paramètres!$A$1:$I$89,5,0)</f>
        <v>1.0049916454590858E-13</v>
      </c>
      <c r="AK103" s="13">
        <f t="shared" si="89"/>
        <v>1.5089081593838289E-12</v>
      </c>
      <c r="AL103" s="20">
        <f t="shared" si="58"/>
        <v>2.8030510891776262E-12</v>
      </c>
      <c r="AM103" s="59">
        <f t="shared" si="59"/>
        <v>293.3333333333361</v>
      </c>
      <c r="AN103" s="59">
        <f ca="1">AVERAGE(OFFSET($AM$3,0,0,'Données projet'!$E$10+1,1))-AVERAGE(OFFSET($H$3,0,0,'Données projet'!$E$10+1,1))</f>
        <v>343.36665824683809</v>
      </c>
      <c r="AO103" s="59">
        <f t="shared" si="90"/>
        <v>342.89042241858527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115.75273306952779</v>
      </c>
      <c r="AV103" s="21">
        <f>EXP(-LN(2)/25)*AV102+(1-EXP(-LN(2)/25))/(LN(2)/25)*Calculateur!AQ103*Calculateur!AS103*VLOOKUP('Données projet'!$B$10,Paramètres!$A$1:$I$89,3,0)*0.475*44/12</f>
        <v>33.198137796647337</v>
      </c>
      <c r="AW103" s="21">
        <f>EXP(-LN(2)/2)*AW102+(1-EXP(-LN(2)/2))/(LN(2)/2)*AQ103*AT103*VLOOKUP('Données projet'!$B$10,Paramètres!$A$1:$I$89,3,0)*0.475*44/12</f>
        <v>4.315177671026342E-4</v>
      </c>
      <c r="AX103" s="21">
        <f t="shared" si="60"/>
        <v>148.95130238394225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-3.1036506698001178E-14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191.96190073146369</v>
      </c>
      <c r="BJ103" s="59">
        <f t="shared" si="92"/>
        <v>224.0560835232115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67.19457979950424</v>
      </c>
      <c r="BQ103" s="21">
        <f>EXP(-LN(2)/25)*BQ102+(1-EXP(-LN(2)/25))/(LN(2)/25)*Calculateur!BL103*Calculateur!BN103*VLOOKUP('Données projet'!$B$11,Paramètres!$A$1:$I$89,3,0)*0.475*44/12</f>
        <v>21.874854670199291</v>
      </c>
      <c r="BR103" s="21">
        <f>EXP(-LN(2)/2)*BR102+(1-EXP(-LN(2)/2))/(LN(2)/2)*BL103*BO103*VLOOKUP('Données projet'!$B$11,Paramètres!$A$1:$I$89,3,0)*0.475*44/12</f>
        <v>2.256519596684843E-4</v>
      </c>
      <c r="BS103" s="22">
        <f t="shared" si="63"/>
        <v>89.069660121663205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-4.5474735088646412E-13</v>
      </c>
      <c r="O104" s="13">
        <f>N104*VLOOKUP('Données projet'!$B$9,Paramètres!$A$1:$I$89,3,0)*VLOOKUP('Données projet'!$B$9,Paramètres!$A$1:$I$89,5,0)</f>
        <v>-2.5420376914553347E-13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410.71046306000068</v>
      </c>
      <c r="T104" s="59">
        <f t="shared" si="88"/>
        <v>430.43167430170087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168.41954919761665</v>
      </c>
      <c r="AA104" s="21">
        <f>EXP(-LN(2)/25)*AA103+(1-EXP(-LN(2)/25))/(LN(2)/25)*Calculateur!V104*Calculateur!X104*VLOOKUP('Données projet'!$B$9,Paramètres!$A$1:$I$89,3,0)*0.475*44/12</f>
        <v>24.050564849730986</v>
      </c>
      <c r="AB104" s="21">
        <f>EXP(-LN(2)/2)*AB103+(1-EXP(-LN(2)/2))/(LN(2)/2)*V104*Y104*VLOOKUP('Données projet'!$B$9,Paramètres!$A$1:$I$89,3,0)*0.475*44/12</f>
        <v>1.7286143915808003E-4</v>
      </c>
      <c r="AC104" s="22">
        <f t="shared" si="57"/>
        <v>192.47028690878679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2.2737367544323206E-13</v>
      </c>
      <c r="AJ104" s="13">
        <f>AI104*VLOOKUP('Données projet'!$B$10,Paramètres!$A$1:$I$89,3,0)*VLOOKUP('Données projet'!$B$10,Paramètres!$A$1:$I$89,5,0)</f>
        <v>1.0049916454590858E-13</v>
      </c>
      <c r="AK104" s="13">
        <f t="shared" si="89"/>
        <v>1.5089081593838289E-12</v>
      </c>
      <c r="AL104" s="20">
        <f t="shared" si="58"/>
        <v>2.8030510891776262E-12</v>
      </c>
      <c r="AM104" s="59">
        <f t="shared" si="59"/>
        <v>293.3333333333361</v>
      </c>
      <c r="AN104" s="59">
        <f ca="1">AVERAGE(OFFSET($AM$3,0,0,'Données projet'!$E$10+1,1))-AVERAGE(OFFSET($H$3,0,0,'Données projet'!$E$10+1,1))</f>
        <v>343.36665824683809</v>
      </c>
      <c r="AO104" s="59">
        <f t="shared" si="90"/>
        <v>342.89042241858527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113.48289257623014</v>
      </c>
      <c r="AV104" s="21">
        <f>EXP(-LN(2)/25)*AV103+(1-EXP(-LN(2)/25))/(LN(2)/25)*Calculateur!AQ104*Calculateur!AS104*VLOOKUP('Données projet'!$B$10,Paramètres!$A$1:$I$89,3,0)*0.475*44/12</f>
        <v>32.290332972783823</v>
      </c>
      <c r="AW104" s="21">
        <f>EXP(-LN(2)/2)*AW103+(1-EXP(-LN(2)/2))/(LN(2)/2)*AQ104*AT104*VLOOKUP('Données projet'!$B$10,Paramètres!$A$1:$I$89,3,0)*0.475*44/12</f>
        <v>3.0512913932074994E-4</v>
      </c>
      <c r="AX104" s="21">
        <f t="shared" si="60"/>
        <v>145.77353067815329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-3.1036506698001178E-14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191.96190073146369</v>
      </c>
      <c r="BJ104" s="59">
        <f t="shared" si="92"/>
        <v>224.0560835232115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65.876935074282741</v>
      </c>
      <c r="BQ104" s="21">
        <f>EXP(-LN(2)/25)*BQ103+(1-EXP(-LN(2)/25))/(LN(2)/25)*Calculateur!BL104*Calculateur!BN104*VLOOKUP('Données projet'!$B$11,Paramètres!$A$1:$I$89,3,0)*0.475*44/12</f>
        <v>21.276685618894081</v>
      </c>
      <c r="BR104" s="21">
        <f>EXP(-LN(2)/2)*BR103+(1-EXP(-LN(2)/2))/(LN(2)/2)*BL104*BO104*VLOOKUP('Données projet'!$B$11,Paramètres!$A$1:$I$89,3,0)*0.475*44/12</f>
        <v>1.5956003086961857E-4</v>
      </c>
      <c r="BS104" s="22">
        <f t="shared" si="63"/>
        <v>87.153780253207685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-4.5474735088646412E-13</v>
      </c>
      <c r="O105" s="13">
        <f>N105*VLOOKUP('Données projet'!$B$9,Paramètres!$A$1:$I$89,3,0)*VLOOKUP('Données projet'!$B$9,Paramètres!$A$1:$I$89,5,0)</f>
        <v>-2.5420376914553347E-13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410.71046306000068</v>
      </c>
      <c r="T105" s="59">
        <f t="shared" si="88"/>
        <v>430.43167430170087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165.11694456363307</v>
      </c>
      <c r="AA105" s="21">
        <f>EXP(-LN(2)/25)*AA104+(1-EXP(-LN(2)/25))/(LN(2)/25)*Calculateur!V105*Calculateur!X105*VLOOKUP('Données projet'!$B$9,Paramètres!$A$1:$I$89,3,0)*0.475*44/12</f>
        <v>23.392900889150855</v>
      </c>
      <c r="AB105" s="21">
        <f>EXP(-LN(2)/2)*AB104+(1-EXP(-LN(2)/2))/(LN(2)/2)*V105*Y105*VLOOKUP('Données projet'!$B$9,Paramètres!$A$1:$I$89,3,0)*0.475*44/12</f>
        <v>1.2223149583434419E-4</v>
      </c>
      <c r="AC105" s="22">
        <f t="shared" si="57"/>
        <v>188.50996768427976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2.2737367544323206E-13</v>
      </c>
      <c r="AJ105" s="13">
        <f>AI105*VLOOKUP('Données projet'!$B$10,Paramètres!$A$1:$I$89,3,0)*VLOOKUP('Données projet'!$B$10,Paramètres!$A$1:$I$89,5,0)</f>
        <v>1.0049916454590858E-13</v>
      </c>
      <c r="AK105" s="13">
        <f t="shared" si="89"/>
        <v>1.5089081593838289E-12</v>
      </c>
      <c r="AL105" s="20">
        <f t="shared" si="58"/>
        <v>2.8030510891776262E-12</v>
      </c>
      <c r="AM105" s="59">
        <f t="shared" si="59"/>
        <v>293.3333333333361</v>
      </c>
      <c r="AN105" s="59">
        <f ca="1">AVERAGE(OFFSET($AM$3,0,0,'Données projet'!$E$10+1,1))-AVERAGE(OFFSET($H$3,0,0,'Données projet'!$E$10+1,1))</f>
        <v>343.36665824683809</v>
      </c>
      <c r="AO105" s="59">
        <f t="shared" si="90"/>
        <v>342.89042241858527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111.25756227054006</v>
      </c>
      <c r="AV105" s="21">
        <f>EXP(-LN(2)/25)*AV104+(1-EXP(-LN(2)/25))/(LN(2)/25)*Calculateur!AQ105*Calculateur!AS105*VLOOKUP('Données projet'!$B$10,Paramètres!$A$1:$I$89,3,0)*0.475*44/12</f>
        <v>31.407352119568237</v>
      </c>
      <c r="AW105" s="21">
        <f>EXP(-LN(2)/2)*AW104+(1-EXP(-LN(2)/2))/(LN(2)/2)*AQ105*AT105*VLOOKUP('Données projet'!$B$10,Paramètres!$A$1:$I$89,3,0)*0.475*44/12</f>
        <v>2.157588835513171E-4</v>
      </c>
      <c r="AX105" s="21">
        <f t="shared" si="60"/>
        <v>142.66513014899184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-3.1036506698001178E-14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191.96190073146369</v>
      </c>
      <c r="BJ105" s="59">
        <f t="shared" si="92"/>
        <v>224.0560835232115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64.58512855843891</v>
      </c>
      <c r="BQ105" s="21">
        <f>EXP(-LN(2)/25)*BQ104+(1-EXP(-LN(2)/25))/(LN(2)/25)*Calculateur!BL105*Calculateur!BN105*VLOOKUP('Données projet'!$B$11,Paramètres!$A$1:$I$89,3,0)*0.475*44/12</f>
        <v>20.694873531753153</v>
      </c>
      <c r="BR105" s="21">
        <f>EXP(-LN(2)/2)*BR104+(1-EXP(-LN(2)/2))/(LN(2)/2)*BL105*BO105*VLOOKUP('Données projet'!$B$11,Paramètres!$A$1:$I$89,3,0)*0.475*44/12</f>
        <v>1.1282597983424215E-4</v>
      </c>
      <c r="BS105" s="22">
        <f t="shared" si="63"/>
        <v>85.280114916171897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-4.5474735088646412E-13</v>
      </c>
      <c r="O106" s="13">
        <f>N106*VLOOKUP('Données projet'!$B$9,Paramètres!$A$1:$I$89,3,0)*VLOOKUP('Données projet'!$B$9,Paramètres!$A$1:$I$89,5,0)</f>
        <v>-2.5420376914553347E-13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410.71046306000068</v>
      </c>
      <c r="T106" s="59">
        <f t="shared" si="88"/>
        <v>430.43167430170087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161.87910199213198</v>
      </c>
      <c r="AA106" s="21">
        <f>EXP(-LN(2)/25)*AA105+(1-EXP(-LN(2)/25))/(LN(2)/25)*Calculateur!V106*Calculateur!X106*VLOOKUP('Données projet'!$B$9,Paramètres!$A$1:$I$89,3,0)*0.475*44/12</f>
        <v>22.753220784157833</v>
      </c>
      <c r="AB106" s="21">
        <f>EXP(-LN(2)/2)*AB105+(1-EXP(-LN(2)/2))/(LN(2)/2)*V106*Y106*VLOOKUP('Données projet'!$B$9,Paramètres!$A$1:$I$89,3,0)*0.475*44/12</f>
        <v>8.6430719579040015E-5</v>
      </c>
      <c r="AC106" s="22">
        <f t="shared" si="57"/>
        <v>184.6324092070094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2.2737367544323206E-13</v>
      </c>
      <c r="AJ106" s="13">
        <f>AI106*VLOOKUP('Données projet'!$B$10,Paramètres!$A$1:$I$89,3,0)*VLOOKUP('Données projet'!$B$10,Paramètres!$A$1:$I$89,5,0)</f>
        <v>1.0049916454590858E-13</v>
      </c>
      <c r="AK106" s="13">
        <f t="shared" si="89"/>
        <v>1.5089081593838289E-12</v>
      </c>
      <c r="AL106" s="20">
        <f t="shared" si="58"/>
        <v>2.8030510891776262E-12</v>
      </c>
      <c r="AM106" s="59">
        <f t="shared" si="59"/>
        <v>293.3333333333361</v>
      </c>
      <c r="AN106" s="59">
        <f ca="1">AVERAGE(OFFSET($AM$3,0,0,'Données projet'!$E$10+1,1))-AVERAGE(OFFSET($H$3,0,0,'Données projet'!$E$10+1,1))</f>
        <v>343.36665824683809</v>
      </c>
      <c r="AO106" s="59">
        <f t="shared" si="90"/>
        <v>342.89042241858527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109.0758693348271</v>
      </c>
      <c r="AV106" s="21">
        <f>EXP(-LN(2)/25)*AV105+(1-EXP(-LN(2)/25))/(LN(2)/25)*Calculateur!AQ106*Calculateur!AS106*VLOOKUP('Données projet'!$B$10,Paramètres!$A$1:$I$89,3,0)*0.475*44/12</f>
        <v>30.54851642421778</v>
      </c>
      <c r="AW106" s="21">
        <f>EXP(-LN(2)/2)*AW105+(1-EXP(-LN(2)/2))/(LN(2)/2)*AQ106*AT106*VLOOKUP('Données projet'!$B$10,Paramètres!$A$1:$I$89,3,0)*0.475*44/12</f>
        <v>1.5256456966037497E-4</v>
      </c>
      <c r="AX106" s="21">
        <f t="shared" si="60"/>
        <v>139.62453832361456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-3.1036506698001178E-14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191.96190073146369</v>
      </c>
      <c r="BJ106" s="59">
        <f t="shared" si="92"/>
        <v>224.0560835232115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63.318653580446608</v>
      </c>
      <c r="BQ106" s="21">
        <f>EXP(-LN(2)/25)*BQ105+(1-EXP(-LN(2)/25))/(LN(2)/25)*Calculateur!BL106*Calculateur!BN106*VLOOKUP('Données projet'!$B$11,Paramètres!$A$1:$I$89,3,0)*0.475*44/12</f>
        <v>20.128971126731262</v>
      </c>
      <c r="BR106" s="21">
        <f>EXP(-LN(2)/2)*BR105+(1-EXP(-LN(2)/2))/(LN(2)/2)*BL106*BO106*VLOOKUP('Données projet'!$B$11,Paramètres!$A$1:$I$89,3,0)*0.475*44/12</f>
        <v>7.9780015434809286E-5</v>
      </c>
      <c r="BS106" s="22">
        <f t="shared" si="63"/>
        <v>83.447704487193306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-4.5474735088646412E-13</v>
      </c>
      <c r="O107" s="13">
        <f>N107*VLOOKUP('Données projet'!$B$9,Paramètres!$A$1:$I$89,3,0)*VLOOKUP('Données projet'!$B$9,Paramètres!$A$1:$I$89,5,0)</f>
        <v>-2.5420376914553347E-13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410.71046306000068</v>
      </c>
      <c r="T107" s="59">
        <f t="shared" si="88"/>
        <v>430.43167430170087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158.70475153856907</v>
      </c>
      <c r="AA107" s="21">
        <f>EXP(-LN(2)/25)*AA106+(1-EXP(-LN(2)/25))/(LN(2)/25)*Calculateur!V107*Calculateur!X107*VLOOKUP('Données projet'!$B$9,Paramètres!$A$1:$I$89,3,0)*0.475*44/12</f>
        <v>22.131032765275158</v>
      </c>
      <c r="AB107" s="21">
        <f>EXP(-LN(2)/2)*AB106+(1-EXP(-LN(2)/2))/(LN(2)/2)*V107*Y107*VLOOKUP('Données projet'!$B$9,Paramètres!$A$1:$I$89,3,0)*0.475*44/12</f>
        <v>6.1115747917172097E-5</v>
      </c>
      <c r="AC107" s="22">
        <f t="shared" si="57"/>
        <v>180.83584541959215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2.2737367544323206E-13</v>
      </c>
      <c r="AJ107" s="13">
        <f>AI107*VLOOKUP('Données projet'!$B$10,Paramètres!$A$1:$I$89,3,0)*VLOOKUP('Données projet'!$B$10,Paramètres!$A$1:$I$89,5,0)</f>
        <v>1.0049916454590858E-13</v>
      </c>
      <c r="AK107" s="13">
        <f t="shared" si="89"/>
        <v>1.5089081593838289E-12</v>
      </c>
      <c r="AL107" s="20">
        <f t="shared" si="58"/>
        <v>2.8030510891776262E-12</v>
      </c>
      <c r="AM107" s="59">
        <f t="shared" si="59"/>
        <v>293.3333333333361</v>
      </c>
      <c r="AN107" s="59">
        <f ca="1">AVERAGE(OFFSET($AM$3,0,0,'Données projet'!$E$10+1,1))-AVERAGE(OFFSET($H$3,0,0,'Données projet'!$E$10+1,1))</f>
        <v>343.36665824683809</v>
      </c>
      <c r="AO107" s="59">
        <f t="shared" si="90"/>
        <v>342.89042241858527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106.93695806688217</v>
      </c>
      <c r="AV107" s="21">
        <f>EXP(-LN(2)/25)*AV106+(1-EXP(-LN(2)/25))/(LN(2)/25)*Calculateur!AQ107*Calculateur!AS107*VLOOKUP('Données projet'!$B$10,Paramètres!$A$1:$I$89,3,0)*0.475*44/12</f>
        <v>29.713165636120888</v>
      </c>
      <c r="AW107" s="21">
        <f>EXP(-LN(2)/2)*AW106+(1-EXP(-LN(2)/2))/(LN(2)/2)*AQ107*AT107*VLOOKUP('Données projet'!$B$10,Paramètres!$A$1:$I$89,3,0)*0.475*44/12</f>
        <v>1.0787944177565855E-4</v>
      </c>
      <c r="AX107" s="21">
        <f t="shared" si="60"/>
        <v>136.65023158244483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-3.1036506698001178E-14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191.96190073146369</v>
      </c>
      <c r="BJ107" s="59">
        <f t="shared" si="92"/>
        <v>224.0560835232115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62.077013404299272</v>
      </c>
      <c r="BQ107" s="21">
        <f>EXP(-LN(2)/25)*BQ106+(1-EXP(-LN(2)/25))/(LN(2)/25)*Calculateur!BL107*Calculateur!BN107*VLOOKUP('Données projet'!$B$11,Paramètres!$A$1:$I$89,3,0)*0.475*44/12</f>
        <v>19.578543352734208</v>
      </c>
      <c r="BR107" s="21">
        <f>EXP(-LN(2)/2)*BR106+(1-EXP(-LN(2)/2))/(LN(2)/2)*BL107*BO107*VLOOKUP('Données projet'!$B$11,Paramètres!$A$1:$I$89,3,0)*0.475*44/12</f>
        <v>5.6412989917121075E-5</v>
      </c>
      <c r="BS107" s="22">
        <f t="shared" si="63"/>
        <v>81.6556131700234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-4.5474735088646412E-13</v>
      </c>
      <c r="O108" s="13">
        <f>N108*VLOOKUP('Données projet'!$B$9,Paramètres!$A$1:$I$89,3,0)*VLOOKUP('Données projet'!$B$9,Paramètres!$A$1:$I$89,5,0)</f>
        <v>-2.5420376914553347E-13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410.71046306000068</v>
      </c>
      <c r="T108" s="59">
        <f t="shared" si="88"/>
        <v>430.43167430170087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155.59264816123792</v>
      </c>
      <c r="AA108" s="21">
        <f>EXP(-LN(2)/25)*AA107+(1-EXP(-LN(2)/25))/(LN(2)/25)*Calculateur!V108*Calculateur!X108*VLOOKUP('Données projet'!$B$9,Paramètres!$A$1:$I$89,3,0)*0.475*44/12</f>
        <v>21.525858510488277</v>
      </c>
      <c r="AB108" s="21">
        <f>EXP(-LN(2)/2)*AB107+(1-EXP(-LN(2)/2))/(LN(2)/2)*V108*Y108*VLOOKUP('Données projet'!$B$9,Paramètres!$A$1:$I$89,3,0)*0.475*44/12</f>
        <v>4.3215359789520007E-5</v>
      </c>
      <c r="AC108" s="22">
        <f t="shared" si="57"/>
        <v>177.118549887086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2.2737367544323206E-13</v>
      </c>
      <c r="AJ108" s="13">
        <f>AI108*VLOOKUP('Données projet'!$B$10,Paramètres!$A$1:$I$89,3,0)*VLOOKUP('Données projet'!$B$10,Paramètres!$A$1:$I$89,5,0)</f>
        <v>1.0049916454590858E-13</v>
      </c>
      <c r="AK108" s="13">
        <f t="shared" si="89"/>
        <v>1.5089081593838289E-12</v>
      </c>
      <c r="AL108" s="20">
        <f t="shared" si="58"/>
        <v>2.8030510891776262E-12</v>
      </c>
      <c r="AM108" s="59">
        <f t="shared" si="59"/>
        <v>293.3333333333361</v>
      </c>
      <c r="AN108" s="59">
        <f ca="1">AVERAGE(OFFSET($AM$3,0,0,'Données projet'!$E$10+1,1))-AVERAGE(OFFSET($H$3,0,0,'Données projet'!$E$10+1,1))</f>
        <v>343.36665824683809</v>
      </c>
      <c r="AO108" s="59">
        <f t="shared" si="90"/>
        <v>342.89042241858527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104.83998954429458</v>
      </c>
      <c r="AV108" s="21">
        <f>EXP(-LN(2)/25)*AV107+(1-EXP(-LN(2)/25))/(LN(2)/25)*Calculateur!AQ108*Calculateur!AS108*VLOOKUP('Données projet'!$B$10,Paramètres!$A$1:$I$89,3,0)*0.475*44/12</f>
        <v>28.900657559253691</v>
      </c>
      <c r="AW108" s="21">
        <f>EXP(-LN(2)/2)*AW107+(1-EXP(-LN(2)/2))/(LN(2)/2)*AQ108*AT108*VLOOKUP('Données projet'!$B$10,Paramètres!$A$1:$I$89,3,0)*0.475*44/12</f>
        <v>7.6282284830187484E-5</v>
      </c>
      <c r="AX108" s="21">
        <f t="shared" si="60"/>
        <v>133.74072338583309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-3.1036506698001178E-14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191.96190073146369</v>
      </c>
      <c r="BJ108" s="59">
        <f t="shared" si="92"/>
        <v>224.0560835232115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60.859721034680454</v>
      </c>
      <c r="BQ108" s="21">
        <f>EXP(-LN(2)/25)*BQ107+(1-EXP(-LN(2)/25))/(LN(2)/25)*Calculateur!BL108*Calculateur!BN108*VLOOKUP('Données projet'!$B$11,Paramètres!$A$1:$I$89,3,0)*0.475*44/12</f>
        <v>19.043167055162844</v>
      </c>
      <c r="BR108" s="21">
        <f>EXP(-LN(2)/2)*BR107+(1-EXP(-LN(2)/2))/(LN(2)/2)*BL108*BO108*VLOOKUP('Données projet'!$B$11,Paramètres!$A$1:$I$89,3,0)*0.475*44/12</f>
        <v>3.9890007717404643E-5</v>
      </c>
      <c r="BS108" s="22">
        <f t="shared" si="63"/>
        <v>79.902927979851015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-4.5474735088646412E-13</v>
      </c>
      <c r="O109" s="13">
        <f>N109*VLOOKUP('Données projet'!$B$9,Paramètres!$A$1:$I$89,3,0)*VLOOKUP('Données projet'!$B$9,Paramètres!$A$1:$I$89,5,0)</f>
        <v>-2.5420376914553347E-13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410.71046306000068</v>
      </c>
      <c r="T109" s="59">
        <f t="shared" si="88"/>
        <v>430.43167430170087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152.54157123294061</v>
      </c>
      <c r="AA109" s="21">
        <f>EXP(-LN(2)/25)*AA108+(1-EXP(-LN(2)/25))/(LN(2)/25)*Calculateur!V109*Calculateur!X109*VLOOKUP('Données projet'!$B$9,Paramètres!$A$1:$I$89,3,0)*0.475*44/12</f>
        <v>20.937232777523274</v>
      </c>
      <c r="AB109" s="21">
        <f>EXP(-LN(2)/2)*AB108+(1-EXP(-LN(2)/2))/(LN(2)/2)*V109*Y109*VLOOKUP('Données projet'!$B$9,Paramètres!$A$1:$I$89,3,0)*0.475*44/12</f>
        <v>3.0557873958586048E-5</v>
      </c>
      <c r="AC109" s="22">
        <f t="shared" si="57"/>
        <v>173.47883456833785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2.2737367544323206E-13</v>
      </c>
      <c r="AJ109" s="13">
        <f>AI109*VLOOKUP('Données projet'!$B$10,Paramètres!$A$1:$I$89,3,0)*VLOOKUP('Données projet'!$B$10,Paramètres!$A$1:$I$89,5,0)</f>
        <v>1.0049916454590858E-13</v>
      </c>
      <c r="AK109" s="13">
        <f t="shared" si="89"/>
        <v>1.5089081593838289E-12</v>
      </c>
      <c r="AL109" s="20">
        <f t="shared" si="58"/>
        <v>2.8030510891776262E-12</v>
      </c>
      <c r="AM109" s="59">
        <f t="shared" si="59"/>
        <v>293.3333333333361</v>
      </c>
      <c r="AN109" s="59">
        <f ca="1">AVERAGE(OFFSET($AM$3,0,0,'Données projet'!$E$10+1,1))-AVERAGE(OFFSET($H$3,0,0,'Données projet'!$E$10+1,1))</f>
        <v>343.36665824683809</v>
      </c>
      <c r="AO109" s="59">
        <f t="shared" si="90"/>
        <v>342.89042241858527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102.78414129541044</v>
      </c>
      <c r="AV109" s="21">
        <f>EXP(-LN(2)/25)*AV108+(1-EXP(-LN(2)/25))/(LN(2)/25)*Calculateur!AQ109*Calculateur!AS109*VLOOKUP('Données projet'!$B$10,Paramètres!$A$1:$I$89,3,0)*0.475*44/12</f>
        <v>28.110367558476373</v>
      </c>
      <c r="AW109" s="21">
        <f>EXP(-LN(2)/2)*AW108+(1-EXP(-LN(2)/2))/(LN(2)/2)*AQ109*AT109*VLOOKUP('Données projet'!$B$10,Paramètres!$A$1:$I$89,3,0)*0.475*44/12</f>
        <v>5.3939720887829275E-5</v>
      </c>
      <c r="AX109" s="21">
        <f t="shared" si="60"/>
        <v>130.89456279360769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-3.1036506698001178E-14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191.96190073146369</v>
      </c>
      <c r="BJ109" s="59">
        <f t="shared" si="92"/>
        <v>224.0560835232115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59.666299025954828</v>
      </c>
      <c r="BQ109" s="21">
        <f>EXP(-LN(2)/25)*BQ108+(1-EXP(-LN(2)/25))/(LN(2)/25)*Calculateur!BL109*Calculateur!BN109*VLOOKUP('Données projet'!$B$11,Paramètres!$A$1:$I$89,3,0)*0.475*44/12</f>
        <v>18.522430650602782</v>
      </c>
      <c r="BR109" s="21">
        <f>EXP(-LN(2)/2)*BR108+(1-EXP(-LN(2)/2))/(LN(2)/2)*BL109*BO109*VLOOKUP('Données projet'!$B$11,Paramètres!$A$1:$I$89,3,0)*0.475*44/12</f>
        <v>2.8206494958560537E-5</v>
      </c>
      <c r="BS109" s="22">
        <f t="shared" si="63"/>
        <v>78.188757883052574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-4.5474735088646412E-13</v>
      </c>
      <c r="O110" s="13">
        <f>N110*VLOOKUP('Données projet'!$B$9,Paramètres!$A$1:$I$89,3,0)*VLOOKUP('Données projet'!$B$9,Paramètres!$A$1:$I$89,5,0)</f>
        <v>-2.5420376914553347E-13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410.71046306000068</v>
      </c>
      <c r="T110" s="59">
        <f t="shared" si="88"/>
        <v>430.43167430170087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149.55032406223404</v>
      </c>
      <c r="AA110" s="21">
        <f>EXP(-LN(2)/25)*AA109+(1-EXP(-LN(2)/25))/(LN(2)/25)*Calculateur!V110*Calculateur!X110*VLOOKUP('Données projet'!$B$9,Paramètres!$A$1:$I$89,3,0)*0.475*44/12</f>
        <v>20.364703046180679</v>
      </c>
      <c r="AB110" s="21">
        <f>EXP(-LN(2)/2)*AB109+(1-EXP(-LN(2)/2))/(LN(2)/2)*V110*Y110*VLOOKUP('Données projet'!$B$9,Paramètres!$A$1:$I$89,3,0)*0.475*44/12</f>
        <v>2.1607679894760004E-5</v>
      </c>
      <c r="AC110" s="22">
        <f t="shared" si="57"/>
        <v>169.91504871609462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2.2737367544323206E-13</v>
      </c>
      <c r="AJ110" s="13">
        <f>AI110*VLOOKUP('Données projet'!$B$10,Paramètres!$A$1:$I$89,3,0)*VLOOKUP('Données projet'!$B$10,Paramètres!$A$1:$I$89,5,0)</f>
        <v>1.0049916454590858E-13</v>
      </c>
      <c r="AK110" s="13">
        <f t="shared" si="89"/>
        <v>1.5089081593838289E-12</v>
      </c>
      <c r="AL110" s="20">
        <f t="shared" si="58"/>
        <v>2.8030510891776262E-12</v>
      </c>
      <c r="AM110" s="59">
        <f t="shared" si="59"/>
        <v>293.3333333333361</v>
      </c>
      <c r="AN110" s="59">
        <f ca="1">AVERAGE(OFFSET($AM$3,0,0,'Données projet'!$E$10+1,1))-AVERAGE(OFFSET($H$3,0,0,'Données projet'!$E$10+1,1))</f>
        <v>343.36665824683809</v>
      </c>
      <c r="AO110" s="59">
        <f t="shared" si="90"/>
        <v>342.89042241858527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100.7686069767433</v>
      </c>
      <c r="AV110" s="21">
        <f>EXP(-LN(2)/25)*AV109+(1-EXP(-LN(2)/25))/(LN(2)/25)*Calculateur!AQ110*Calculateur!AS110*VLOOKUP('Données projet'!$B$10,Paramètres!$A$1:$I$89,3,0)*0.475*44/12</f>
        <v>27.341688079329852</v>
      </c>
      <c r="AW110" s="21">
        <f>EXP(-LN(2)/2)*AW109+(1-EXP(-LN(2)/2))/(LN(2)/2)*AQ110*AT110*VLOOKUP('Données projet'!$B$10,Paramètres!$A$1:$I$89,3,0)*0.475*44/12</f>
        <v>3.8141142415093742E-5</v>
      </c>
      <c r="AX110" s="21">
        <f t="shared" si="60"/>
        <v>128.11033319721557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-3.1036506698001178E-14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191.96190073146369</v>
      </c>
      <c r="BJ110" s="59">
        <f t="shared" si="92"/>
        <v>224.0560835232115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58.496279294904767</v>
      </c>
      <c r="BQ110" s="21">
        <f>EXP(-LN(2)/25)*BQ109+(1-EXP(-LN(2)/25))/(LN(2)/25)*Calculateur!BL110*Calculateur!BN110*VLOOKUP('Données projet'!$B$11,Paramètres!$A$1:$I$89,3,0)*0.475*44/12</f>
        <v>18.015933810409756</v>
      </c>
      <c r="BR110" s="21">
        <f>EXP(-LN(2)/2)*BR109+(1-EXP(-LN(2)/2))/(LN(2)/2)*BL110*BO110*VLOOKUP('Données projet'!$B$11,Paramètres!$A$1:$I$89,3,0)*0.475*44/12</f>
        <v>1.9945003858702321E-5</v>
      </c>
      <c r="BS110" s="22">
        <f t="shared" si="63"/>
        <v>76.512233050318372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-4.5474735088646412E-13</v>
      </c>
      <c r="O111" s="13">
        <f>N111*VLOOKUP('Données projet'!$B$9,Paramètres!$A$1:$I$89,3,0)*VLOOKUP('Données projet'!$B$9,Paramètres!$A$1:$I$89,5,0)</f>
        <v>-2.5420376914553347E-13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410.71046306000068</v>
      </c>
      <c r="T111" s="59">
        <f t="shared" si="88"/>
        <v>430.43167430170087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146.6177334240644</v>
      </c>
      <c r="AA111" s="21">
        <f>EXP(-LN(2)/25)*AA110+(1-EXP(-LN(2)/25))/(LN(2)/25)*Calculateur!V111*Calculateur!X111*VLOOKUP('Données projet'!$B$9,Paramètres!$A$1:$I$89,3,0)*0.475*44/12</f>
        <v>19.807829170449679</v>
      </c>
      <c r="AB111" s="21">
        <f>EXP(-LN(2)/2)*AB110+(1-EXP(-LN(2)/2))/(LN(2)/2)*V111*Y111*VLOOKUP('Données projet'!$B$9,Paramètres!$A$1:$I$89,3,0)*0.475*44/12</f>
        <v>1.5278936979293024E-5</v>
      </c>
      <c r="AC111" s="22">
        <f t="shared" si="57"/>
        <v>166.42557787345106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2.2737367544323206E-13</v>
      </c>
      <c r="AJ111" s="13">
        <f>AI111*VLOOKUP('Données projet'!$B$10,Paramètres!$A$1:$I$89,3,0)*VLOOKUP('Données projet'!$B$10,Paramètres!$A$1:$I$89,5,0)</f>
        <v>1.0049916454590858E-13</v>
      </c>
      <c r="AK111" s="13">
        <f t="shared" si="89"/>
        <v>1.5089081593838289E-12</v>
      </c>
      <c r="AL111" s="20">
        <f t="shared" si="58"/>
        <v>2.8030510891776262E-12</v>
      </c>
      <c r="AM111" s="59">
        <f t="shared" si="59"/>
        <v>293.3333333333361</v>
      </c>
      <c r="AN111" s="59">
        <f ca="1">AVERAGE(OFFSET($AM$3,0,0,'Données projet'!$E$10+1,1))-AVERAGE(OFFSET($H$3,0,0,'Données projet'!$E$10+1,1))</f>
        <v>343.36665824683809</v>
      </c>
      <c r="AO111" s="59">
        <f t="shared" si="90"/>
        <v>342.89042241858527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98.792596056710678</v>
      </c>
      <c r="AV111" s="21">
        <f>EXP(-LN(2)/25)*AV110+(1-EXP(-LN(2)/25))/(LN(2)/25)*Calculateur!AQ111*Calculateur!AS111*VLOOKUP('Données projet'!$B$10,Paramètres!$A$1:$I$89,3,0)*0.475*44/12</f>
        <v>26.594028180963694</v>
      </c>
      <c r="AW111" s="21">
        <f>EXP(-LN(2)/2)*AW110+(1-EXP(-LN(2)/2))/(LN(2)/2)*AQ111*AT111*VLOOKUP('Données projet'!$B$10,Paramètres!$A$1:$I$89,3,0)*0.475*44/12</f>
        <v>2.6969860443914638E-5</v>
      </c>
      <c r="AX111" s="21">
        <f t="shared" si="60"/>
        <v>125.38665120753481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-3.1036506698001178E-14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191.96190073146369</v>
      </c>
      <c r="BJ111" s="59">
        <f t="shared" si="92"/>
        <v>224.0560835232115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57.349202937139026</v>
      </c>
      <c r="BQ111" s="21">
        <f>EXP(-LN(2)/25)*BQ110+(1-EXP(-LN(2)/25))/(LN(2)/25)*Calculateur!BL111*Calculateur!BN111*VLOOKUP('Données projet'!$B$11,Paramètres!$A$1:$I$89,3,0)*0.475*44/12</f>
        <v>17.523287152947319</v>
      </c>
      <c r="BR111" s="21">
        <f>EXP(-LN(2)/2)*BR110+(1-EXP(-LN(2)/2))/(LN(2)/2)*BL111*BO111*VLOOKUP('Données projet'!$B$11,Paramètres!$A$1:$I$89,3,0)*0.475*44/12</f>
        <v>1.4103247479280269E-5</v>
      </c>
      <c r="BS111" s="22">
        <f t="shared" si="63"/>
        <v>74.872504193333825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-4.5474735088646412E-13</v>
      </c>
      <c r="O112" s="13">
        <f>N112*VLOOKUP('Données projet'!$B$9,Paramètres!$A$1:$I$89,3,0)*VLOOKUP('Données projet'!$B$9,Paramètres!$A$1:$I$89,5,0)</f>
        <v>-2.5420376914553347E-13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410.71046306000068</v>
      </c>
      <c r="T112" s="59">
        <f t="shared" si="88"/>
        <v>430.43167430170087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143.74264909960561</v>
      </c>
      <c r="AA112" s="21">
        <f>EXP(-LN(2)/25)*AA111+(1-EXP(-LN(2)/25))/(LN(2)/25)*Calculateur!V112*Calculateur!X112*VLOOKUP('Données projet'!$B$9,Paramètres!$A$1:$I$89,3,0)*0.475*44/12</f>
        <v>19.266183040135267</v>
      </c>
      <c r="AB112" s="21">
        <f>EXP(-LN(2)/2)*AB111+(1-EXP(-LN(2)/2))/(LN(2)/2)*V112*Y112*VLOOKUP('Données projet'!$B$9,Paramètres!$A$1:$I$89,3,0)*0.475*44/12</f>
        <v>1.0803839947380002E-5</v>
      </c>
      <c r="AC112" s="22">
        <f t="shared" si="57"/>
        <v>163.00884294358085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2.2737367544323206E-13</v>
      </c>
      <c r="AJ112" s="13">
        <f>AI112*VLOOKUP('Données projet'!$B$10,Paramètres!$A$1:$I$89,3,0)*VLOOKUP('Données projet'!$B$10,Paramètres!$A$1:$I$89,5,0)</f>
        <v>1.0049916454590858E-13</v>
      </c>
      <c r="AK112" s="13">
        <f t="shared" si="89"/>
        <v>1.5089081593838289E-12</v>
      </c>
      <c r="AL112" s="20">
        <f t="shared" si="58"/>
        <v>2.8030510891776262E-12</v>
      </c>
      <c r="AM112" s="59">
        <f t="shared" si="59"/>
        <v>293.3333333333361</v>
      </c>
      <c r="AN112" s="59">
        <f ca="1">AVERAGE(OFFSET($AM$3,0,0,'Données projet'!$E$10+1,1))-AVERAGE(OFFSET($H$3,0,0,'Données projet'!$E$10+1,1))</f>
        <v>343.36665824683809</v>
      </c>
      <c r="AO112" s="59">
        <f t="shared" si="90"/>
        <v>342.89042241858527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96.855333505572233</v>
      </c>
      <c r="AV112" s="21">
        <f>EXP(-LN(2)/25)*AV111+(1-EXP(-LN(2)/25))/(LN(2)/25)*Calculateur!AQ112*Calculateur!AS112*VLOOKUP('Données projet'!$B$10,Paramètres!$A$1:$I$89,3,0)*0.475*44/12</f>
        <v>25.866813081836082</v>
      </c>
      <c r="AW112" s="21">
        <f>EXP(-LN(2)/2)*AW111+(1-EXP(-LN(2)/2))/(LN(2)/2)*AQ112*AT112*VLOOKUP('Données projet'!$B$10,Paramètres!$A$1:$I$89,3,0)*0.475*44/12</f>
        <v>1.9070571207546871E-5</v>
      </c>
      <c r="AX112" s="21">
        <f t="shared" si="60"/>
        <v>122.72216565797953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-3.1036506698001178E-14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191.96190073146369</v>
      </c>
      <c r="BJ112" s="59">
        <f t="shared" si="92"/>
        <v>224.0560835232115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56.224620047101574</v>
      </c>
      <c r="BQ112" s="21">
        <f>EXP(-LN(2)/25)*BQ111+(1-EXP(-LN(2)/25))/(LN(2)/25)*Calculateur!BL112*Calculateur!BN112*VLOOKUP('Données projet'!$B$11,Paramètres!$A$1:$I$89,3,0)*0.475*44/12</f>
        <v>17.044111944240353</v>
      </c>
      <c r="BR112" s="21">
        <f>EXP(-LN(2)/2)*BR111+(1-EXP(-LN(2)/2))/(LN(2)/2)*BL112*BO112*VLOOKUP('Données projet'!$B$11,Paramètres!$A$1:$I$89,3,0)*0.475*44/12</f>
        <v>9.9725019293511607E-6</v>
      </c>
      <c r="BS112" s="22">
        <f t="shared" si="63"/>
        <v>73.268741963843851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-4.5474735088646412E-13</v>
      </c>
      <c r="O113" s="13">
        <f>N113*VLOOKUP('Données projet'!$B$9,Paramètres!$A$1:$I$89,3,0)*VLOOKUP('Données projet'!$B$9,Paramètres!$A$1:$I$89,5,0)</f>
        <v>-2.5420376914553347E-13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410.71046306000068</v>
      </c>
      <c r="T113" s="59">
        <f t="shared" si="88"/>
        <v>430.43167430170087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140.92394342512117</v>
      </c>
      <c r="AA113" s="21">
        <f>EXP(-LN(2)/25)*AA112+(1-EXP(-LN(2)/25))/(LN(2)/25)*Calculateur!V113*Calculateur!X113*VLOOKUP('Données projet'!$B$9,Paramètres!$A$1:$I$89,3,0)*0.475*44/12</f>
        <v>18.739348251738235</v>
      </c>
      <c r="AB113" s="21">
        <f>EXP(-LN(2)/2)*AB112+(1-EXP(-LN(2)/2))/(LN(2)/2)*V113*Y113*VLOOKUP('Données projet'!$B$9,Paramètres!$A$1:$I$89,3,0)*0.475*44/12</f>
        <v>7.6394684896465121E-6</v>
      </c>
      <c r="AC113" s="22">
        <f t="shared" si="57"/>
        <v>159.66329931632788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2.2737367544323206E-13</v>
      </c>
      <c r="AJ113" s="13">
        <f>AI113*VLOOKUP('Données projet'!$B$10,Paramètres!$A$1:$I$89,3,0)*VLOOKUP('Données projet'!$B$10,Paramètres!$A$1:$I$89,5,0)</f>
        <v>1.0049916454590858E-13</v>
      </c>
      <c r="AK113" s="13">
        <f t="shared" si="89"/>
        <v>1.5089081593838289E-12</v>
      </c>
      <c r="AL113" s="20">
        <f t="shared" si="58"/>
        <v>2.8030510891776262E-12</v>
      </c>
      <c r="AM113" s="59">
        <f t="shared" si="59"/>
        <v>293.3333333333361</v>
      </c>
      <c r="AN113" s="59">
        <f ca="1">AVERAGE(OFFSET($AM$3,0,0,'Données projet'!$E$10+1,1))-AVERAGE(OFFSET($H$3,0,0,'Données projet'!$E$10+1,1))</f>
        <v>343.36665824683809</v>
      </c>
      <c r="AO113" s="59">
        <f t="shared" si="90"/>
        <v>342.89042241858527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94.956059491448144</v>
      </c>
      <c r="AV113" s="21">
        <f>EXP(-LN(2)/25)*AV112+(1-EXP(-LN(2)/25))/(LN(2)/25)*Calculateur!AQ113*Calculateur!AS113*VLOOKUP('Données projet'!$B$10,Paramètres!$A$1:$I$89,3,0)*0.475*44/12</f>
        <v>25.159483717836693</v>
      </c>
      <c r="AW113" s="21">
        <f>EXP(-LN(2)/2)*AW112+(1-EXP(-LN(2)/2))/(LN(2)/2)*AQ113*AT113*VLOOKUP('Données projet'!$B$10,Paramètres!$A$1:$I$89,3,0)*0.475*44/12</f>
        <v>1.3484930221957319E-5</v>
      </c>
      <c r="AX113" s="21">
        <f t="shared" si="60"/>
        <v>120.11555669421506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-3.1036506698001178E-14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191.96190073146369</v>
      </c>
      <c r="BJ113" s="59">
        <f t="shared" si="92"/>
        <v>224.0560835232115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55.122089541609924</v>
      </c>
      <c r="BQ113" s="21">
        <f>EXP(-LN(2)/25)*BQ112+(1-EXP(-LN(2)/25))/(LN(2)/25)*Calculateur!BL113*Calculateur!BN113*VLOOKUP('Données projet'!$B$11,Paramètres!$A$1:$I$89,3,0)*0.475*44/12</f>
        <v>16.578039806814207</v>
      </c>
      <c r="BR113" s="21">
        <f>EXP(-LN(2)/2)*BR112+(1-EXP(-LN(2)/2))/(LN(2)/2)*BL113*BO113*VLOOKUP('Données projet'!$B$11,Paramètres!$A$1:$I$89,3,0)*0.475*44/12</f>
        <v>7.0516237396401343E-6</v>
      </c>
      <c r="BS113" s="22">
        <f t="shared" si="63"/>
        <v>71.700136400047867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-4.5474735088646412E-13</v>
      </c>
      <c r="O114" s="13">
        <f>N114*VLOOKUP('Données projet'!$B$9,Paramètres!$A$1:$I$89,3,0)*VLOOKUP('Données projet'!$B$9,Paramètres!$A$1:$I$89,5,0)</f>
        <v>-2.5420376914553347E-13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410.71046306000068</v>
      </c>
      <c r="T114" s="59">
        <f t="shared" si="88"/>
        <v>430.43167430170087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138.16051084967268</v>
      </c>
      <c r="AA114" s="21">
        <f>EXP(-LN(2)/25)*AA113+(1-EXP(-LN(2)/25))/(LN(2)/25)*Calculateur!V114*Calculateur!X114*VLOOKUP('Données projet'!$B$9,Paramètres!$A$1:$I$89,3,0)*0.475*44/12</f>
        <v>18.226919788334957</v>
      </c>
      <c r="AB114" s="21">
        <f>EXP(-LN(2)/2)*AB113+(1-EXP(-LN(2)/2))/(LN(2)/2)*V114*Y114*VLOOKUP('Données projet'!$B$9,Paramètres!$A$1:$I$89,3,0)*0.475*44/12</f>
        <v>5.4019199736900009E-6</v>
      </c>
      <c r="AC114" s="22">
        <f t="shared" si="57"/>
        <v>156.38743603992759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2.2737367544323206E-13</v>
      </c>
      <c r="AJ114" s="13">
        <f>AI114*VLOOKUP('Données projet'!$B$10,Paramètres!$A$1:$I$89,3,0)*VLOOKUP('Données projet'!$B$10,Paramètres!$A$1:$I$89,5,0)</f>
        <v>1.0049916454590858E-13</v>
      </c>
      <c r="AK114" s="13">
        <f t="shared" si="89"/>
        <v>1.5089081593838289E-12</v>
      </c>
      <c r="AL114" s="20">
        <f t="shared" si="58"/>
        <v>2.8030510891776262E-12</v>
      </c>
      <c r="AM114" s="59">
        <f t="shared" si="59"/>
        <v>293.3333333333361</v>
      </c>
      <c r="AN114" s="59">
        <f ca="1">AVERAGE(OFFSET($AM$3,0,0,'Données projet'!$E$10+1,1))-AVERAGE(OFFSET($H$3,0,0,'Données projet'!$E$10+1,1))</f>
        <v>343.36665824683809</v>
      </c>
      <c r="AO114" s="59">
        <f t="shared" si="90"/>
        <v>342.89042241858527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93.094029082298263</v>
      </c>
      <c r="AV114" s="21">
        <f>EXP(-LN(2)/25)*AV113+(1-EXP(-LN(2)/25))/(LN(2)/25)*Calculateur!AQ114*Calculateur!AS114*VLOOKUP('Données projet'!$B$10,Paramètres!$A$1:$I$89,3,0)*0.475*44/12</f>
        <v>24.471496312492704</v>
      </c>
      <c r="AW114" s="21">
        <f>EXP(-LN(2)/2)*AW113+(1-EXP(-LN(2)/2))/(LN(2)/2)*AQ114*AT114*VLOOKUP('Données projet'!$B$10,Paramètres!$A$1:$I$89,3,0)*0.475*44/12</f>
        <v>9.5352856037734355E-6</v>
      </c>
      <c r="AX114" s="21">
        <f t="shared" si="60"/>
        <v>117.56553493007657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-3.1036506698001178E-14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191.96190073146369</v>
      </c>
      <c r="BJ114" s="59">
        <f t="shared" si="92"/>
        <v>224.0560835232115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54.041178986853758</v>
      </c>
      <c r="BQ114" s="21">
        <f>EXP(-LN(2)/25)*BQ113+(1-EXP(-LN(2)/25))/(LN(2)/25)*Calculateur!BL114*Calculateur!BN114*VLOOKUP('Données projet'!$B$11,Paramètres!$A$1:$I$89,3,0)*0.475*44/12</f>
        <v>16.124712436495649</v>
      </c>
      <c r="BR114" s="21">
        <f>EXP(-LN(2)/2)*BR113+(1-EXP(-LN(2)/2))/(LN(2)/2)*BL114*BO114*VLOOKUP('Données projet'!$B$11,Paramètres!$A$1:$I$89,3,0)*0.475*44/12</f>
        <v>4.9862509646755804E-6</v>
      </c>
      <c r="BS114" s="22">
        <f t="shared" si="63"/>
        <v>70.165896409600379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-4.5474735088646412E-13</v>
      </c>
      <c r="O115" s="13">
        <f>N115*VLOOKUP('Données projet'!$B$9,Paramètres!$A$1:$I$89,3,0)*VLOOKUP('Données projet'!$B$9,Paramètres!$A$1:$I$89,5,0)</f>
        <v>-2.5420376914553347E-13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410.71046306000068</v>
      </c>
      <c r="T115" s="59">
        <f t="shared" si="88"/>
        <v>430.43167430170087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135.45126750150129</v>
      </c>
      <c r="AA115" s="21">
        <f>EXP(-LN(2)/25)*AA114+(1-EXP(-LN(2)/25))/(LN(2)/25)*Calculateur!V115*Calculateur!X115*VLOOKUP('Données projet'!$B$9,Paramètres!$A$1:$I$89,3,0)*0.475*44/12</f>
        <v>17.728503708210884</v>
      </c>
      <c r="AB115" s="21">
        <f>EXP(-LN(2)/2)*AB114+(1-EXP(-LN(2)/2))/(LN(2)/2)*V115*Y115*VLOOKUP('Données projet'!$B$9,Paramètres!$A$1:$I$89,3,0)*0.475*44/12</f>
        <v>3.8197342448232561E-6</v>
      </c>
      <c r="AC115" s="22">
        <f t="shared" si="57"/>
        <v>153.17977502944643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2.2737367544323206E-13</v>
      </c>
      <c r="AJ115" s="13">
        <f>AI115*VLOOKUP('Données projet'!$B$10,Paramètres!$A$1:$I$89,3,0)*VLOOKUP('Données projet'!$B$10,Paramètres!$A$1:$I$89,5,0)</f>
        <v>1.0049916454590858E-13</v>
      </c>
      <c r="AK115" s="13">
        <f t="shared" si="89"/>
        <v>1.5089081593838289E-12</v>
      </c>
      <c r="AL115" s="20">
        <f t="shared" si="58"/>
        <v>2.8030510891776262E-12</v>
      </c>
      <c r="AM115" s="59">
        <f t="shared" si="59"/>
        <v>293.3333333333361</v>
      </c>
      <c r="AN115" s="59">
        <f ca="1">AVERAGE(OFFSET($AM$3,0,0,'Données projet'!$E$10+1,1))-AVERAGE(OFFSET($H$3,0,0,'Données projet'!$E$10+1,1))</f>
        <v>343.36665824683809</v>
      </c>
      <c r="AO115" s="59">
        <f t="shared" si="90"/>
        <v>342.89042241858527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91.268511953745403</v>
      </c>
      <c r="AV115" s="21">
        <f>EXP(-LN(2)/25)*AV114+(1-EXP(-LN(2)/25))/(LN(2)/25)*Calculateur!AQ115*Calculateur!AS115*VLOOKUP('Données projet'!$B$10,Paramètres!$A$1:$I$89,3,0)*0.475*44/12</f>
        <v>23.802321958927529</v>
      </c>
      <c r="AW115" s="21">
        <f>EXP(-LN(2)/2)*AW114+(1-EXP(-LN(2)/2))/(LN(2)/2)*AQ115*AT115*VLOOKUP('Données projet'!$B$10,Paramètres!$A$1:$I$89,3,0)*0.475*44/12</f>
        <v>6.7424651109786594E-6</v>
      </c>
      <c r="AX115" s="21">
        <f t="shared" si="60"/>
        <v>115.07084065513804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-3.1036506698001178E-14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191.96190073146369</v>
      </c>
      <c r="BJ115" s="59">
        <f t="shared" si="92"/>
        <v>224.0560835232115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52.981464428786026</v>
      </c>
      <c r="BQ115" s="21">
        <f>EXP(-LN(2)/25)*BQ114+(1-EXP(-LN(2)/25))/(LN(2)/25)*Calculateur!BL115*Calculateur!BN115*VLOOKUP('Données projet'!$B$11,Paramètres!$A$1:$I$89,3,0)*0.475*44/12</f>
        <v>15.683781326957902</v>
      </c>
      <c r="BR115" s="21">
        <f>EXP(-LN(2)/2)*BR114+(1-EXP(-LN(2)/2))/(LN(2)/2)*BL115*BO115*VLOOKUP('Données projet'!$B$11,Paramètres!$A$1:$I$89,3,0)*0.475*44/12</f>
        <v>3.5258118698200672E-6</v>
      </c>
      <c r="BS115" s="22">
        <f t="shared" si="63"/>
        <v>68.665249281555788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-4.5474735088646412E-13</v>
      </c>
      <c r="O116" s="13">
        <f>N116*VLOOKUP('Données projet'!$B$9,Paramètres!$A$1:$I$89,3,0)*VLOOKUP('Données projet'!$B$9,Paramètres!$A$1:$I$89,5,0)</f>
        <v>-2.5420376914553347E-13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410.71046306000068</v>
      </c>
      <c r="T116" s="59">
        <f t="shared" si="88"/>
        <v>430.43167430170087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132.79515076291227</v>
      </c>
      <c r="AA116" s="21">
        <f>EXP(-LN(2)/25)*AA115+(1-EXP(-LN(2)/25))/(LN(2)/25)*Calculateur!V116*Calculateur!X116*VLOOKUP('Données projet'!$B$9,Paramètres!$A$1:$I$89,3,0)*0.475*44/12</f>
        <v>17.243716842008364</v>
      </c>
      <c r="AB116" s="21">
        <f>EXP(-LN(2)/2)*AB115+(1-EXP(-LN(2)/2))/(LN(2)/2)*V116*Y116*VLOOKUP('Données projet'!$B$9,Paramètres!$A$1:$I$89,3,0)*0.475*44/12</f>
        <v>2.7009599868450005E-6</v>
      </c>
      <c r="AC116" s="22">
        <f t="shared" si="57"/>
        <v>150.03887030588061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2.2737367544323206E-13</v>
      </c>
      <c r="AJ116" s="13">
        <f>AI116*VLOOKUP('Données projet'!$B$10,Paramètres!$A$1:$I$89,3,0)*VLOOKUP('Données projet'!$B$10,Paramètres!$A$1:$I$89,5,0)</f>
        <v>1.0049916454590858E-13</v>
      </c>
      <c r="AK116" s="13">
        <f t="shared" si="89"/>
        <v>1.5089081593838289E-12</v>
      </c>
      <c r="AL116" s="20">
        <f t="shared" si="58"/>
        <v>2.8030510891776262E-12</v>
      </c>
      <c r="AM116" s="59">
        <f t="shared" si="59"/>
        <v>293.3333333333361</v>
      </c>
      <c r="AN116" s="59">
        <f ca="1">AVERAGE(OFFSET($AM$3,0,0,'Données projet'!$E$10+1,1))-AVERAGE(OFFSET($H$3,0,0,'Données projet'!$E$10+1,1))</f>
        <v>343.36665824683809</v>
      </c>
      <c r="AO116" s="59">
        <f t="shared" si="90"/>
        <v>342.89042241858527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89.478792102627963</v>
      </c>
      <c r="AV116" s="21">
        <f>EXP(-LN(2)/25)*AV115+(1-EXP(-LN(2)/25))/(LN(2)/25)*Calculateur!AQ116*Calculateur!AS116*VLOOKUP('Données projet'!$B$10,Paramètres!$A$1:$I$89,3,0)*0.475*44/12</f>
        <v>23.151446213250946</v>
      </c>
      <c r="AW116" s="21">
        <f>EXP(-LN(2)/2)*AW115+(1-EXP(-LN(2)/2))/(LN(2)/2)*AQ116*AT116*VLOOKUP('Données projet'!$B$10,Paramètres!$A$1:$I$89,3,0)*0.475*44/12</f>
        <v>4.7676428018867177E-6</v>
      </c>
      <c r="AX116" s="21">
        <f t="shared" si="60"/>
        <v>112.63024308352172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-3.1036506698001178E-14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191.96190073146369</v>
      </c>
      <c r="BJ116" s="59">
        <f t="shared" si="92"/>
        <v>224.0560835232115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51.942530226839942</v>
      </c>
      <c r="BQ116" s="21">
        <f>EXP(-LN(2)/25)*BQ115+(1-EXP(-LN(2)/25))/(LN(2)/25)*Calculateur!BL116*Calculateur!BN116*VLOOKUP('Données projet'!$B$11,Paramètres!$A$1:$I$89,3,0)*0.475*44/12</f>
        <v>15.254907501798025</v>
      </c>
      <c r="BR116" s="21">
        <f>EXP(-LN(2)/2)*BR115+(1-EXP(-LN(2)/2))/(LN(2)/2)*BL116*BO116*VLOOKUP('Données projet'!$B$11,Paramètres!$A$1:$I$89,3,0)*0.475*44/12</f>
        <v>2.4931254823377902E-6</v>
      </c>
      <c r="BS116" s="22">
        <f t="shared" si="63"/>
        <v>67.197440221763443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-4.5474735088646412E-13</v>
      </c>
      <c r="O117" s="13">
        <f>N117*VLOOKUP('Données projet'!$B$9,Paramètres!$A$1:$I$89,3,0)*VLOOKUP('Données projet'!$B$9,Paramètres!$A$1:$I$89,5,0)</f>
        <v>-2.5420376914553347E-13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410.71046306000068</v>
      </c>
      <c r="T117" s="59">
        <f t="shared" si="88"/>
        <v>430.43167430170087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130.19111885349574</v>
      </c>
      <c r="AA117" s="21">
        <f>EXP(-LN(2)/25)*AA116+(1-EXP(-LN(2)/25))/(LN(2)/25)*Calculateur!V117*Calculateur!X117*VLOOKUP('Données projet'!$B$9,Paramètres!$A$1:$I$89,3,0)*0.475*44/12</f>
        <v>16.772186498155989</v>
      </c>
      <c r="AB117" s="21">
        <f>EXP(-LN(2)/2)*AB116+(1-EXP(-LN(2)/2))/(LN(2)/2)*V117*Y117*VLOOKUP('Données projet'!$B$9,Paramètres!$A$1:$I$89,3,0)*0.475*44/12</f>
        <v>1.909867122411628E-6</v>
      </c>
      <c r="AC117" s="22">
        <f t="shared" si="57"/>
        <v>146.96330726151885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2.2737367544323206E-13</v>
      </c>
      <c r="AJ117" s="13">
        <f>AI117*VLOOKUP('Données projet'!$B$10,Paramètres!$A$1:$I$89,3,0)*VLOOKUP('Données projet'!$B$10,Paramètres!$A$1:$I$89,5,0)</f>
        <v>1.0049916454590858E-13</v>
      </c>
      <c r="AK117" s="13">
        <f t="shared" si="89"/>
        <v>1.5089081593838289E-12</v>
      </c>
      <c r="AL117" s="20">
        <f t="shared" si="58"/>
        <v>2.8030510891776262E-12</v>
      </c>
      <c r="AM117" s="59">
        <f t="shared" si="59"/>
        <v>293.3333333333361</v>
      </c>
      <c r="AN117" s="59">
        <f ca="1">AVERAGE(OFFSET($AM$3,0,0,'Données projet'!$E$10+1,1))-AVERAGE(OFFSET($H$3,0,0,'Données projet'!$E$10+1,1))</f>
        <v>343.36665824683809</v>
      </c>
      <c r="AO117" s="59">
        <f t="shared" si="90"/>
        <v>342.89042241858527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87.724167566169612</v>
      </c>
      <c r="AV117" s="21">
        <f>EXP(-LN(2)/25)*AV116+(1-EXP(-LN(2)/25))/(LN(2)/25)*Calculateur!AQ117*Calculateur!AS117*VLOOKUP('Données projet'!$B$10,Paramètres!$A$1:$I$89,3,0)*0.475*44/12</f>
        <v>22.518368699067956</v>
      </c>
      <c r="AW117" s="21">
        <f>EXP(-LN(2)/2)*AW116+(1-EXP(-LN(2)/2))/(LN(2)/2)*AQ117*AT117*VLOOKUP('Données projet'!$B$10,Paramètres!$A$1:$I$89,3,0)*0.475*44/12</f>
        <v>3.3712325554893297E-6</v>
      </c>
      <c r="AX117" s="21">
        <f t="shared" si="60"/>
        <v>110.24253963647011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-3.1036506698001178E-14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191.96190073146369</v>
      </c>
      <c r="BJ117" s="59">
        <f t="shared" si="92"/>
        <v>224.0560835232115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50.923968890906728</v>
      </c>
      <c r="BQ117" s="21">
        <f>EXP(-LN(2)/25)*BQ116+(1-EXP(-LN(2)/25))/(LN(2)/25)*Calculateur!BL117*Calculateur!BN117*VLOOKUP('Données projet'!$B$11,Paramètres!$A$1:$I$89,3,0)*0.475*44/12</f>
        <v>14.837761253940638</v>
      </c>
      <c r="BR117" s="21">
        <f>EXP(-LN(2)/2)*BR116+(1-EXP(-LN(2)/2))/(LN(2)/2)*BL117*BO117*VLOOKUP('Données projet'!$B$11,Paramètres!$A$1:$I$89,3,0)*0.475*44/12</f>
        <v>1.7629059349100336E-6</v>
      </c>
      <c r="BS117" s="22">
        <f t="shared" si="63"/>
        <v>65.761731907753301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-4.5474735088646412E-13</v>
      </c>
      <c r="O118" s="13">
        <f>N118*VLOOKUP('Données projet'!$B$9,Paramètres!$A$1:$I$89,3,0)*VLOOKUP('Données projet'!$B$9,Paramètres!$A$1:$I$89,5,0)</f>
        <v>-2.5420376914553347E-13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410.71046306000068</v>
      </c>
      <c r="T118" s="59">
        <f t="shared" si="88"/>
        <v>430.43167430170087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127.63815042152022</v>
      </c>
      <c r="AA118" s="21">
        <f>EXP(-LN(2)/25)*AA117+(1-EXP(-LN(2)/25))/(LN(2)/25)*Calculateur!V118*Calculateur!X118*VLOOKUP('Données projet'!$B$9,Paramètres!$A$1:$I$89,3,0)*0.475*44/12</f>
        <v>16.313550176352958</v>
      </c>
      <c r="AB118" s="21">
        <f>EXP(-LN(2)/2)*AB117+(1-EXP(-LN(2)/2))/(LN(2)/2)*V118*Y118*VLOOKUP('Données projet'!$B$9,Paramètres!$A$1:$I$89,3,0)*0.475*44/12</f>
        <v>1.3504799934225002E-6</v>
      </c>
      <c r="AC118" s="22">
        <f t="shared" si="57"/>
        <v>143.95170194835319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2.2737367544323206E-13</v>
      </c>
      <c r="AJ118" s="13">
        <f>AI118*VLOOKUP('Données projet'!$B$10,Paramètres!$A$1:$I$89,3,0)*VLOOKUP('Données projet'!$B$10,Paramètres!$A$1:$I$89,5,0)</f>
        <v>1.0049916454590858E-13</v>
      </c>
      <c r="AK118" s="13">
        <f t="shared" si="89"/>
        <v>1.5089081593838289E-12</v>
      </c>
      <c r="AL118" s="20">
        <f t="shared" si="58"/>
        <v>2.8030510891776262E-12</v>
      </c>
      <c r="AM118" s="59">
        <f t="shared" si="59"/>
        <v>293.3333333333361</v>
      </c>
      <c r="AN118" s="59">
        <f ca="1">AVERAGE(OFFSET($AM$3,0,0,'Données projet'!$E$10+1,1))-AVERAGE(OFFSET($H$3,0,0,'Données projet'!$E$10+1,1))</f>
        <v>343.36665824683809</v>
      </c>
      <c r="AO118" s="59">
        <f t="shared" si="90"/>
        <v>342.89042241858527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86.003950146655924</v>
      </c>
      <c r="AV118" s="21">
        <f>EXP(-LN(2)/25)*AV117+(1-EXP(-LN(2)/25))/(LN(2)/25)*Calculateur!AQ118*Calculateur!AS118*VLOOKUP('Données projet'!$B$10,Paramètres!$A$1:$I$89,3,0)*0.475*44/12</f>
        <v>21.902602722802399</v>
      </c>
      <c r="AW118" s="21">
        <f>EXP(-LN(2)/2)*AW117+(1-EXP(-LN(2)/2))/(LN(2)/2)*AQ118*AT118*VLOOKUP('Données projet'!$B$10,Paramètres!$A$1:$I$89,3,0)*0.475*44/12</f>
        <v>2.3838214009433589E-6</v>
      </c>
      <c r="AX118" s="21">
        <f t="shared" si="60"/>
        <v>107.90655525327972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-3.1036506698001178E-14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191.96190073146369</v>
      </c>
      <c r="BJ118" s="59">
        <f t="shared" si="92"/>
        <v>224.0560835232115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49.925380921510097</v>
      </c>
      <c r="BQ118" s="21">
        <f>EXP(-LN(2)/25)*BQ117+(1-EXP(-LN(2)/25))/(LN(2)/25)*Calculateur!BL118*Calculateur!BN118*VLOOKUP('Données projet'!$B$11,Paramètres!$A$1:$I$89,3,0)*0.475*44/12</f>
        <v>14.432021892167679</v>
      </c>
      <c r="BR118" s="21">
        <f>EXP(-LN(2)/2)*BR117+(1-EXP(-LN(2)/2))/(LN(2)/2)*BL118*BO118*VLOOKUP('Données projet'!$B$11,Paramètres!$A$1:$I$89,3,0)*0.475*44/12</f>
        <v>1.2465627411688951E-6</v>
      </c>
      <c r="BS118" s="22">
        <f t="shared" si="63"/>
        <v>64.357404060240526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-4.5474735088646412E-13</v>
      </c>
      <c r="O119" s="13">
        <f>N119*VLOOKUP('Données projet'!$B$9,Paramètres!$A$1:$I$89,3,0)*VLOOKUP('Données projet'!$B$9,Paramètres!$A$1:$I$89,5,0)</f>
        <v>-2.5420376914553347E-13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410.71046306000068</v>
      </c>
      <c r="T119" s="59">
        <f t="shared" si="88"/>
        <v>430.43167430170087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125.13524414333877</v>
      </c>
      <c r="AA119" s="21">
        <f>EXP(-LN(2)/25)*AA118+(1-EXP(-LN(2)/25))/(LN(2)/25)*Calculateur!V119*Calculateur!X119*VLOOKUP('Données projet'!$B$9,Paramètres!$A$1:$I$89,3,0)*0.475*44/12</f>
        <v>15.867455288888268</v>
      </c>
      <c r="AB119" s="21">
        <f>EXP(-LN(2)/2)*AB118+(1-EXP(-LN(2)/2))/(LN(2)/2)*V119*Y119*VLOOKUP('Données projet'!$B$9,Paramètres!$A$1:$I$89,3,0)*0.475*44/12</f>
        <v>9.5493356120581401E-7</v>
      </c>
      <c r="AC119" s="22">
        <f t="shared" si="57"/>
        <v>141.00270038716062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2.2737367544323206E-13</v>
      </c>
      <c r="AJ119" s="13">
        <f>AI119*VLOOKUP('Données projet'!$B$10,Paramètres!$A$1:$I$89,3,0)*VLOOKUP('Données projet'!$B$10,Paramètres!$A$1:$I$89,5,0)</f>
        <v>1.0049916454590858E-13</v>
      </c>
      <c r="AK119" s="13">
        <f t="shared" si="89"/>
        <v>1.5089081593838289E-12</v>
      </c>
      <c r="AL119" s="20">
        <f t="shared" si="58"/>
        <v>2.8030510891776262E-12</v>
      </c>
      <c r="AM119" s="59">
        <f t="shared" si="59"/>
        <v>293.3333333333361</v>
      </c>
      <c r="AN119" s="59">
        <f ca="1">AVERAGE(OFFSET($AM$3,0,0,'Données projet'!$E$10+1,1))-AVERAGE(OFFSET($H$3,0,0,'Données projet'!$E$10+1,1))</f>
        <v>343.36665824683809</v>
      </c>
      <c r="AO119" s="59">
        <f t="shared" si="90"/>
        <v>342.89042241858527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84.317465141509871</v>
      </c>
      <c r="AV119" s="21">
        <f>EXP(-LN(2)/25)*AV118+(1-EXP(-LN(2)/25))/(LN(2)/25)*Calculateur!AQ119*Calculateur!AS119*VLOOKUP('Données projet'!$B$10,Paramètres!$A$1:$I$89,3,0)*0.475*44/12</f>
        <v>21.303674899539548</v>
      </c>
      <c r="AW119" s="21">
        <f>EXP(-LN(2)/2)*AW118+(1-EXP(-LN(2)/2))/(LN(2)/2)*AQ119*AT119*VLOOKUP('Données projet'!$B$10,Paramètres!$A$1:$I$89,3,0)*0.475*44/12</f>
        <v>1.6856162777446649E-6</v>
      </c>
      <c r="AX119" s="21">
        <f t="shared" si="60"/>
        <v>105.6211417266657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-3.1036506698001178E-14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191.96190073146369</v>
      </c>
      <c r="BJ119" s="59">
        <f t="shared" si="92"/>
        <v>224.0560835232115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48.946374653114816</v>
      </c>
      <c r="BQ119" s="21">
        <f>EXP(-LN(2)/25)*BQ118+(1-EXP(-LN(2)/25))/(LN(2)/25)*Calculateur!BL119*Calculateur!BN119*VLOOKUP('Données projet'!$B$11,Paramètres!$A$1:$I$89,3,0)*0.475*44/12</f>
        <v>14.037377494579307</v>
      </c>
      <c r="BR119" s="21">
        <f>EXP(-LN(2)/2)*BR118+(1-EXP(-LN(2)/2))/(LN(2)/2)*BL119*BO119*VLOOKUP('Données projet'!$B$11,Paramètres!$A$1:$I$89,3,0)*0.475*44/12</f>
        <v>8.8145296745501679E-7</v>
      </c>
      <c r="BS119" s="22">
        <f t="shared" si="63"/>
        <v>62.983753029147088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-4.5474735088646412E-13</v>
      </c>
      <c r="O120" s="13">
        <f>N120*VLOOKUP('Données projet'!$B$9,Paramètres!$A$1:$I$89,3,0)*VLOOKUP('Données projet'!$B$9,Paramètres!$A$1:$I$89,5,0)</f>
        <v>-2.5420376914553347E-13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410.71046306000068</v>
      </c>
      <c r="T120" s="59">
        <f t="shared" si="88"/>
        <v>430.43167430170087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122.68141833065036</v>
      </c>
      <c r="AA120" s="21">
        <f>EXP(-LN(2)/25)*AA119+(1-EXP(-LN(2)/25))/(LN(2)/25)*Calculateur!V120*Calculateur!X120*VLOOKUP('Données projet'!$B$9,Paramètres!$A$1:$I$89,3,0)*0.475*44/12</f>
        <v>15.433558889580409</v>
      </c>
      <c r="AB120" s="21">
        <f>EXP(-LN(2)/2)*AB119+(1-EXP(-LN(2)/2))/(LN(2)/2)*V120*Y120*VLOOKUP('Données projet'!$B$9,Paramètres!$A$1:$I$89,3,0)*0.475*44/12</f>
        <v>6.7523999671125011E-7</v>
      </c>
      <c r="AC120" s="22">
        <f t="shared" si="57"/>
        <v>138.11497789547076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2.2737367544323206E-13</v>
      </c>
      <c r="AJ120" s="13">
        <f>AI120*VLOOKUP('Données projet'!$B$10,Paramètres!$A$1:$I$89,3,0)*VLOOKUP('Données projet'!$B$10,Paramètres!$A$1:$I$89,5,0)</f>
        <v>1.0049916454590858E-13</v>
      </c>
      <c r="AK120" s="13">
        <f t="shared" si="89"/>
        <v>1.5089081593838289E-12</v>
      </c>
      <c r="AL120" s="20">
        <f t="shared" si="58"/>
        <v>2.8030510891776262E-12</v>
      </c>
      <c r="AM120" s="59">
        <f t="shared" si="59"/>
        <v>293.3333333333361</v>
      </c>
      <c r="AN120" s="59">
        <f ca="1">AVERAGE(OFFSET($AM$3,0,0,'Données projet'!$E$10+1,1))-AVERAGE(OFFSET($H$3,0,0,'Données projet'!$E$10+1,1))</f>
        <v>343.36665824683809</v>
      </c>
      <c r="AO120" s="59">
        <f t="shared" si="90"/>
        <v>342.89042241858527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82.664051078660449</v>
      </c>
      <c r="AV120" s="21">
        <f>EXP(-LN(2)/25)*AV119+(1-EXP(-LN(2)/25))/(LN(2)/25)*Calculateur!AQ120*Calculateur!AS120*VLOOKUP('Données projet'!$B$10,Paramètres!$A$1:$I$89,3,0)*0.475*44/12</f>
        <v>20.721124789100067</v>
      </c>
      <c r="AW120" s="21">
        <f>EXP(-LN(2)/2)*AW119+(1-EXP(-LN(2)/2))/(LN(2)/2)*AQ120*AT120*VLOOKUP('Données projet'!$B$10,Paramètres!$A$1:$I$89,3,0)*0.475*44/12</f>
        <v>1.1919107004716794E-6</v>
      </c>
      <c r="AX120" s="21">
        <f t="shared" si="60"/>
        <v>103.38517705967122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-3.1036506698001178E-14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191.96190073146369</v>
      </c>
      <c r="BJ120" s="59">
        <f t="shared" si="92"/>
        <v>224.0560835232115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47.986566100507901</v>
      </c>
      <c r="BQ120" s="21">
        <f>EXP(-LN(2)/25)*BQ119+(1-EXP(-LN(2)/25))/(LN(2)/25)*Calculateur!BL120*Calculateur!BN120*VLOOKUP('Données projet'!$B$11,Paramètres!$A$1:$I$89,3,0)*0.475*44/12</f>
        <v>13.653524668796436</v>
      </c>
      <c r="BR120" s="21">
        <f>EXP(-LN(2)/2)*BR119+(1-EXP(-LN(2)/2))/(LN(2)/2)*BL120*BO120*VLOOKUP('Données projet'!$B$11,Paramètres!$A$1:$I$89,3,0)*0.475*44/12</f>
        <v>6.2328137058444755E-7</v>
      </c>
      <c r="BS120" s="22">
        <f t="shared" si="63"/>
        <v>61.64009139258571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-4.5474735088646412E-13</v>
      </c>
      <c r="O121" s="13">
        <f>N121*VLOOKUP('Données projet'!$B$9,Paramètres!$A$1:$I$89,3,0)*VLOOKUP('Données projet'!$B$9,Paramètres!$A$1:$I$89,5,0)</f>
        <v>-2.5420376914553347E-13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410.71046306000068</v>
      </c>
      <c r="T121" s="59">
        <f t="shared" si="88"/>
        <v>430.43167430170087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120.27571054546281</v>
      </c>
      <c r="AA121" s="21">
        <f>EXP(-LN(2)/25)*AA120+(1-EXP(-LN(2)/25))/(LN(2)/25)*Calculateur!V121*Calculateur!X121*VLOOKUP('Données projet'!$B$9,Paramètres!$A$1:$I$89,3,0)*0.475*44/12</f>
        <v>15.011527410129245</v>
      </c>
      <c r="AB121" s="21">
        <f>EXP(-LN(2)/2)*AB120+(1-EXP(-LN(2)/2))/(LN(2)/2)*V121*Y121*VLOOKUP('Données projet'!$B$9,Paramètres!$A$1:$I$89,3,0)*0.475*44/12</f>
        <v>4.7746678060290701E-7</v>
      </c>
      <c r="AC121" s="22">
        <f t="shared" si="57"/>
        <v>135.28723843305883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2.2737367544323206E-13</v>
      </c>
      <c r="AJ121" s="13">
        <f>AI121*VLOOKUP('Données projet'!$B$10,Paramètres!$A$1:$I$89,3,0)*VLOOKUP('Données projet'!$B$10,Paramètres!$A$1:$I$89,5,0)</f>
        <v>1.0049916454590858E-13</v>
      </c>
      <c r="AK121" s="13">
        <f t="shared" si="89"/>
        <v>1.5089081593838289E-12</v>
      </c>
      <c r="AL121" s="20">
        <f t="shared" si="58"/>
        <v>2.8030510891776262E-12</v>
      </c>
      <c r="AM121" s="59">
        <f t="shared" si="59"/>
        <v>293.3333333333361</v>
      </c>
      <c r="AN121" s="59">
        <f ca="1">AVERAGE(OFFSET($AM$3,0,0,'Données projet'!$E$10+1,1))-AVERAGE(OFFSET($H$3,0,0,'Données projet'!$E$10+1,1))</f>
        <v>343.36665824683809</v>
      </c>
      <c r="AO121" s="59">
        <f t="shared" si="90"/>
        <v>342.89042241858527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81.043059457100512</v>
      </c>
      <c r="AV121" s="21">
        <f>EXP(-LN(2)/25)*AV120+(1-EXP(-LN(2)/25))/(LN(2)/25)*Calculateur!AQ121*Calculateur!AS121*VLOOKUP('Données projet'!$B$10,Paramètres!$A$1:$I$89,3,0)*0.475*44/12</f>
        <v>20.154504542065531</v>
      </c>
      <c r="AW121" s="21">
        <f>EXP(-LN(2)/2)*AW120+(1-EXP(-LN(2)/2))/(LN(2)/2)*AQ121*AT121*VLOOKUP('Données projet'!$B$10,Paramètres!$A$1:$I$89,3,0)*0.475*44/12</f>
        <v>8.4280813887233243E-7</v>
      </c>
      <c r="AX121" s="21">
        <f t="shared" si="60"/>
        <v>101.19756484197418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-3.1036506698001178E-14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191.96190073146369</v>
      </c>
      <c r="BJ121" s="59">
        <f t="shared" si="92"/>
        <v>224.0560835232115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47.045578808192197</v>
      </c>
      <c r="BQ121" s="21">
        <f>EXP(-LN(2)/25)*BQ120+(1-EXP(-LN(2)/25))/(LN(2)/25)*Calculateur!BL121*Calculateur!BN121*VLOOKUP('Données projet'!$B$11,Paramètres!$A$1:$I$89,3,0)*0.475*44/12</f>
        <v>13.280168318720541</v>
      </c>
      <c r="BR121" s="21">
        <f>EXP(-LN(2)/2)*BR120+(1-EXP(-LN(2)/2))/(LN(2)/2)*BL121*BO121*VLOOKUP('Données projet'!$B$11,Paramètres!$A$1:$I$89,3,0)*0.475*44/12</f>
        <v>4.407264837275084E-7</v>
      </c>
      <c r="BS121" s="22">
        <f t="shared" si="63"/>
        <v>60.325747567639219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-4.5474735088646412E-13</v>
      </c>
      <c r="O122" s="13">
        <f>N122*VLOOKUP('Données projet'!$B$9,Paramètres!$A$1:$I$89,3,0)*VLOOKUP('Données projet'!$B$9,Paramètres!$A$1:$I$89,5,0)</f>
        <v>-2.5420376914553347E-13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410.71046306000068</v>
      </c>
      <c r="T122" s="59">
        <f t="shared" si="88"/>
        <v>430.43167430170087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117.91717722260593</v>
      </c>
      <c r="AA122" s="21">
        <f>EXP(-LN(2)/25)*AA121+(1-EXP(-LN(2)/25))/(LN(2)/25)*Calculateur!V122*Calculateur!X122*VLOOKUP('Données projet'!$B$9,Paramètres!$A$1:$I$89,3,0)*0.475*44/12</f>
        <v>14.601036403677345</v>
      </c>
      <c r="AB122" s="21">
        <f>EXP(-LN(2)/2)*AB121+(1-EXP(-LN(2)/2))/(LN(2)/2)*V122*Y122*VLOOKUP('Données projet'!$B$9,Paramètres!$A$1:$I$89,3,0)*0.475*44/12</f>
        <v>3.3761999835562506E-7</v>
      </c>
      <c r="AC122" s="22">
        <f t="shared" si="57"/>
        <v>132.51821396390329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2.2737367544323206E-13</v>
      </c>
      <c r="AJ122" s="13">
        <f>AI122*VLOOKUP('Données projet'!$B$10,Paramètres!$A$1:$I$89,3,0)*VLOOKUP('Données projet'!$B$10,Paramètres!$A$1:$I$89,5,0)</f>
        <v>1.0049916454590858E-13</v>
      </c>
      <c r="AK122" s="13">
        <f t="shared" si="89"/>
        <v>1.5089081593838289E-12</v>
      </c>
      <c r="AL122" s="20">
        <f t="shared" si="58"/>
        <v>2.8030510891776262E-12</v>
      </c>
      <c r="AM122" s="59">
        <f t="shared" si="59"/>
        <v>293.3333333333361</v>
      </c>
      <c r="AN122" s="59">
        <f ca="1">AVERAGE(OFFSET($AM$3,0,0,'Données projet'!$E$10+1,1))-AVERAGE(OFFSET($H$3,0,0,'Données projet'!$E$10+1,1))</f>
        <v>343.36665824683809</v>
      </c>
      <c r="AO122" s="59">
        <f t="shared" si="90"/>
        <v>342.89042241858527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79.453854492532102</v>
      </c>
      <c r="AV122" s="21">
        <f>EXP(-LN(2)/25)*AV121+(1-EXP(-LN(2)/25))/(LN(2)/25)*Calculateur!AQ122*Calculateur!AS122*VLOOKUP('Données projet'!$B$10,Paramètres!$A$1:$I$89,3,0)*0.475*44/12</f>
        <v>19.60337855548342</v>
      </c>
      <c r="AW122" s="21">
        <f>EXP(-LN(2)/2)*AW121+(1-EXP(-LN(2)/2))/(LN(2)/2)*AQ122*AT122*VLOOKUP('Données projet'!$B$10,Paramètres!$A$1:$I$89,3,0)*0.475*44/12</f>
        <v>5.9595535023583972E-7</v>
      </c>
      <c r="AX122" s="21">
        <f t="shared" si="60"/>
        <v>99.057233643970875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-3.1036506698001178E-14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191.96190073146369</v>
      </c>
      <c r="BJ122" s="59">
        <f t="shared" si="92"/>
        <v>224.0560835232115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46.123043702733227</v>
      </c>
      <c r="BQ122" s="21">
        <f>EXP(-LN(2)/25)*BQ121+(1-EXP(-LN(2)/25))/(LN(2)/25)*Calculateur!BL122*Calculateur!BN122*VLOOKUP('Données projet'!$B$11,Paramètres!$A$1:$I$89,3,0)*0.475*44/12</f>
        <v>12.917021417671428</v>
      </c>
      <c r="BR122" s="21">
        <f>EXP(-LN(2)/2)*BR121+(1-EXP(-LN(2)/2))/(LN(2)/2)*BL122*BO122*VLOOKUP('Données projet'!$B$11,Paramètres!$A$1:$I$89,3,0)*0.475*44/12</f>
        <v>3.1164068529222377E-7</v>
      </c>
      <c r="BS122" s="22">
        <f t="shared" si="63"/>
        <v>59.040065432045338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-4.5474735088646412E-13</v>
      </c>
      <c r="O123" s="13">
        <f>N123*VLOOKUP('Données projet'!$B$9,Paramètres!$A$1:$I$89,3,0)*VLOOKUP('Données projet'!$B$9,Paramètres!$A$1:$I$89,5,0)</f>
        <v>-2.5420376914553347E-13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410.71046306000068</v>
      </c>
      <c r="T123" s="59">
        <f t="shared" si="88"/>
        <v>430.43167430170087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115.60489329964699</v>
      </c>
      <c r="AA123" s="21">
        <f>EXP(-LN(2)/25)*AA122+(1-EXP(-LN(2)/25))/(LN(2)/25)*Calculateur!V123*Calculateur!X123*VLOOKUP('Données projet'!$B$9,Paramètres!$A$1:$I$89,3,0)*0.475*44/12</f>
        <v>14.201770295383655</v>
      </c>
      <c r="AB123" s="21">
        <f>EXP(-LN(2)/2)*AB122+(1-EXP(-LN(2)/2))/(LN(2)/2)*V123*Y123*VLOOKUP('Données projet'!$B$9,Paramètres!$A$1:$I$89,3,0)*0.475*44/12</f>
        <v>2.387333903014535E-7</v>
      </c>
      <c r="AC123" s="22">
        <f t="shared" si="57"/>
        <v>129.80666383376402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2.2737367544323206E-13</v>
      </c>
      <c r="AJ123" s="13">
        <f>AI123*VLOOKUP('Données projet'!$B$10,Paramètres!$A$1:$I$89,3,0)*VLOOKUP('Données projet'!$B$10,Paramètres!$A$1:$I$89,5,0)</f>
        <v>1.0049916454590858E-13</v>
      </c>
      <c r="AK123" s="13">
        <f t="shared" si="89"/>
        <v>1.5089081593838289E-12</v>
      </c>
      <c r="AL123" s="20">
        <f t="shared" si="58"/>
        <v>2.8030510891776262E-12</v>
      </c>
      <c r="AM123" s="59">
        <f t="shared" si="59"/>
        <v>293.3333333333361</v>
      </c>
      <c r="AN123" s="59">
        <f ca="1">AVERAGE(OFFSET($AM$3,0,0,'Données projet'!$E$10+1,1))-AVERAGE(OFFSET($H$3,0,0,'Données projet'!$E$10+1,1))</f>
        <v>343.36665824683809</v>
      </c>
      <c r="AO123" s="59">
        <f t="shared" si="90"/>
        <v>342.89042241858527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77.895812867999553</v>
      </c>
      <c r="AV123" s="21">
        <f>EXP(-LN(2)/25)*AV122+(1-EXP(-LN(2)/25))/(LN(2)/25)*Calculateur!AQ123*Calculateur!AS123*VLOOKUP('Données projet'!$B$10,Paramètres!$A$1:$I$89,3,0)*0.475*44/12</f>
        <v>19.06732313798685</v>
      </c>
      <c r="AW123" s="21">
        <f>EXP(-LN(2)/2)*AW122+(1-EXP(-LN(2)/2))/(LN(2)/2)*AQ123*AT123*VLOOKUP('Données projet'!$B$10,Paramètres!$A$1:$I$89,3,0)*0.475*44/12</f>
        <v>4.2140406943616621E-7</v>
      </c>
      <c r="AX123" s="21">
        <f t="shared" si="60"/>
        <v>96.963136427390467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-3.1036506698001178E-14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191.96190073146369</v>
      </c>
      <c r="BJ123" s="59">
        <f t="shared" si="92"/>
        <v>224.0560835232115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45.218598948001457</v>
      </c>
      <c r="BQ123" s="21">
        <f>EXP(-LN(2)/25)*BQ122+(1-EXP(-LN(2)/25))/(LN(2)/25)*Calculateur!BL123*Calculateur!BN123*VLOOKUP('Données projet'!$B$11,Paramètres!$A$1:$I$89,3,0)*0.475*44/12</f>
        <v>12.56380478772857</v>
      </c>
      <c r="BR123" s="21">
        <f>EXP(-LN(2)/2)*BR122+(1-EXP(-LN(2)/2))/(LN(2)/2)*BL123*BO123*VLOOKUP('Données projet'!$B$11,Paramètres!$A$1:$I$89,3,0)*0.475*44/12</f>
        <v>2.203632418637542E-7</v>
      </c>
      <c r="BS123" s="22">
        <f t="shared" si="63"/>
        <v>57.782403956093269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-4.5474735088646412E-13</v>
      </c>
      <c r="O124" s="13">
        <f>N124*VLOOKUP('Données projet'!$B$9,Paramètres!$A$1:$I$89,3,0)*VLOOKUP('Données projet'!$B$9,Paramètres!$A$1:$I$89,5,0)</f>
        <v>-2.5420376914553347E-13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410.71046306000068</v>
      </c>
      <c r="T124" s="59">
        <f t="shared" si="88"/>
        <v>430.43167430170087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113.33795185406333</v>
      </c>
      <c r="AA124" s="21">
        <f>EXP(-LN(2)/25)*AA123+(1-EXP(-LN(2)/25))/(LN(2)/25)*Calculateur!V124*Calculateur!X124*VLOOKUP('Données projet'!$B$9,Paramètres!$A$1:$I$89,3,0)*0.475*44/12</f>
        <v>13.813422139817748</v>
      </c>
      <c r="AB124" s="21">
        <f>EXP(-LN(2)/2)*AB123+(1-EXP(-LN(2)/2))/(LN(2)/2)*V124*Y124*VLOOKUP('Données projet'!$B$9,Paramètres!$A$1:$I$89,3,0)*0.475*44/12</f>
        <v>1.6880999917781253E-7</v>
      </c>
      <c r="AC124" s="22">
        <f t="shared" si="57"/>
        <v>127.15137416269108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2.2737367544323206E-13</v>
      </c>
      <c r="AJ124" s="13">
        <f>AI124*VLOOKUP('Données projet'!$B$10,Paramètres!$A$1:$I$89,3,0)*VLOOKUP('Données projet'!$B$10,Paramètres!$A$1:$I$89,5,0)</f>
        <v>1.0049916454590858E-13</v>
      </c>
      <c r="AK124" s="13">
        <f t="shared" si="89"/>
        <v>1.5089081593838289E-12</v>
      </c>
      <c r="AL124" s="20">
        <f t="shared" si="58"/>
        <v>2.8030510891776262E-12</v>
      </c>
      <c r="AM124" s="59">
        <f t="shared" si="59"/>
        <v>293.3333333333361</v>
      </c>
      <c r="AN124" s="59">
        <f ca="1">AVERAGE(OFFSET($AM$3,0,0,'Données projet'!$E$10+1,1))-AVERAGE(OFFSET($H$3,0,0,'Données projet'!$E$10+1,1))</f>
        <v>343.36665824683809</v>
      </c>
      <c r="AO124" s="59">
        <f t="shared" si="90"/>
        <v>342.89042241858527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76.368323489412532</v>
      </c>
      <c r="AV124" s="21">
        <f>EXP(-LN(2)/25)*AV123+(1-EXP(-LN(2)/25))/(LN(2)/25)*Calculateur!AQ124*Calculateur!AS124*VLOOKUP('Données projet'!$B$10,Paramètres!$A$1:$I$89,3,0)*0.475*44/12</f>
        <v>18.545926184071654</v>
      </c>
      <c r="AW124" s="21">
        <f>EXP(-LN(2)/2)*AW123+(1-EXP(-LN(2)/2))/(LN(2)/2)*AQ124*AT124*VLOOKUP('Données projet'!$B$10,Paramètres!$A$1:$I$89,3,0)*0.475*44/12</f>
        <v>2.9797767511791986E-7</v>
      </c>
      <c r="AX124" s="21">
        <f t="shared" si="60"/>
        <v>94.914249971461871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-3.1036506698001178E-14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191.96190073146369</v>
      </c>
      <c r="BJ124" s="59">
        <f t="shared" si="92"/>
        <v>224.0560835232115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44.331889803253148</v>
      </c>
      <c r="BQ124" s="21">
        <f>EXP(-LN(2)/25)*BQ123+(1-EXP(-LN(2)/25))/(LN(2)/25)*Calculateur!BL124*Calculateur!BN124*VLOOKUP('Données projet'!$B$11,Paramètres!$A$1:$I$89,3,0)*0.475*44/12</f>
        <v>12.220246885106354</v>
      </c>
      <c r="BR124" s="21">
        <f>EXP(-LN(2)/2)*BR123+(1-EXP(-LN(2)/2))/(LN(2)/2)*BL124*BO124*VLOOKUP('Données projet'!$B$11,Paramètres!$A$1:$I$89,3,0)*0.475*44/12</f>
        <v>1.5582034264611189E-7</v>
      </c>
      <c r="BS124" s="22">
        <f t="shared" si="63"/>
        <v>56.552136844179849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-4.5474735088646412E-13</v>
      </c>
      <c r="O125" s="13">
        <f>N125*VLOOKUP('Données projet'!$B$9,Paramètres!$A$1:$I$89,3,0)*VLOOKUP('Données projet'!$B$9,Paramètres!$A$1:$I$89,5,0)</f>
        <v>-2.5420376914553347E-13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410.71046306000068</v>
      </c>
      <c r="T125" s="59">
        <f t="shared" si="88"/>
        <v>430.43167430170087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111.11546374752983</v>
      </c>
      <c r="AA125" s="21">
        <f>EXP(-LN(2)/25)*AA124+(1-EXP(-LN(2)/25))/(LN(2)/25)*Calculateur!V125*Calculateur!X125*VLOOKUP('Données projet'!$B$9,Paramètres!$A$1:$I$89,3,0)*0.475*44/12</f>
        <v>13.435693384988133</v>
      </c>
      <c r="AB125" s="21">
        <f>EXP(-LN(2)/2)*AB124+(1-EXP(-LN(2)/2))/(LN(2)/2)*V125*Y125*VLOOKUP('Données projet'!$B$9,Paramètres!$A$1:$I$89,3,0)*0.475*44/12</f>
        <v>1.1936669515072675E-7</v>
      </c>
      <c r="AC125" s="22">
        <f t="shared" si="57"/>
        <v>124.55115725188465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2.2737367544323206E-13</v>
      </c>
      <c r="AJ125" s="13">
        <f>AI125*VLOOKUP('Données projet'!$B$10,Paramètres!$A$1:$I$89,3,0)*VLOOKUP('Données projet'!$B$10,Paramètres!$A$1:$I$89,5,0)</f>
        <v>1.0049916454590858E-13</v>
      </c>
      <c r="AK125" s="13">
        <f t="shared" si="89"/>
        <v>1.5089081593838289E-12</v>
      </c>
      <c r="AL125" s="20">
        <f t="shared" si="58"/>
        <v>2.8030510891776262E-12</v>
      </c>
      <c r="AM125" s="59">
        <f t="shared" si="59"/>
        <v>293.3333333333361</v>
      </c>
      <c r="AN125" s="59">
        <f ca="1">AVERAGE(OFFSET($AM$3,0,0,'Données projet'!$E$10+1,1))-AVERAGE(OFFSET($H$3,0,0,'Données projet'!$E$10+1,1))</f>
        <v>343.36665824683809</v>
      </c>
      <c r="AO125" s="59">
        <f t="shared" si="90"/>
        <v>342.89042241858527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74.870787245863085</v>
      </c>
      <c r="AV125" s="21">
        <f>EXP(-LN(2)/25)*AV124+(1-EXP(-LN(2)/25))/(LN(2)/25)*Calculateur!AQ125*Calculateur!AS125*VLOOKUP('Données projet'!$B$10,Paramètres!$A$1:$I$89,3,0)*0.475*44/12</f>
        <v>18.038786857280343</v>
      </c>
      <c r="AW125" s="21">
        <f>EXP(-LN(2)/2)*AW124+(1-EXP(-LN(2)/2))/(LN(2)/2)*AQ125*AT125*VLOOKUP('Données projet'!$B$10,Paramètres!$A$1:$I$89,3,0)*0.475*44/12</f>
        <v>2.1070203471808311E-7</v>
      </c>
      <c r="AX125" s="21">
        <f t="shared" si="60"/>
        <v>92.909574313845468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-3.1036506698001178E-14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191.96190073146369</v>
      </c>
      <c r="BJ125" s="59">
        <f t="shared" si="92"/>
        <v>224.0560835232115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43.462568483994175</v>
      </c>
      <c r="BQ125" s="21">
        <f>EXP(-LN(2)/25)*BQ124+(1-EXP(-LN(2)/25))/(LN(2)/25)*Calculateur!BL125*Calculateur!BN125*VLOOKUP('Données projet'!$B$11,Paramètres!$A$1:$I$89,3,0)*0.475*44/12</f>
        <v>11.886083591398267</v>
      </c>
      <c r="BR125" s="21">
        <f>EXP(-LN(2)/2)*BR124+(1-EXP(-LN(2)/2))/(LN(2)/2)*BL125*BO125*VLOOKUP('Données projet'!$B$11,Paramètres!$A$1:$I$89,3,0)*0.475*44/12</f>
        <v>1.101816209318771E-7</v>
      </c>
      <c r="BS125" s="22">
        <f t="shared" si="63"/>
        <v>55.348652185574068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-4.5474735088646412E-13</v>
      </c>
      <c r="O126" s="13">
        <f>N126*VLOOKUP('Données projet'!$B$9,Paramètres!$A$1:$I$89,3,0)*VLOOKUP('Données projet'!$B$9,Paramètres!$A$1:$I$89,5,0)</f>
        <v>-2.5420376914553347E-13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410.71046306000068</v>
      </c>
      <c r="T126" s="59">
        <f t="shared" si="88"/>
        <v>430.43167430170087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108.93655727718155</v>
      </c>
      <c r="AA126" s="21">
        <f>EXP(-LN(2)/25)*AA125+(1-EXP(-LN(2)/25))/(LN(2)/25)*Calculateur!V126*Calculateur!X126*VLOOKUP('Données projet'!$B$9,Paramètres!$A$1:$I$89,3,0)*0.475*44/12</f>
        <v>13.068293642823225</v>
      </c>
      <c r="AB126" s="21">
        <f>EXP(-LN(2)/2)*AB125+(1-EXP(-LN(2)/2))/(LN(2)/2)*V126*Y126*VLOOKUP('Données projet'!$B$9,Paramètres!$A$1:$I$89,3,0)*0.475*44/12</f>
        <v>8.4404999588906264E-8</v>
      </c>
      <c r="AC126" s="22">
        <f t="shared" si="57"/>
        <v>122.00485100440977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2.2737367544323206E-13</v>
      </c>
      <c r="AJ126" s="13">
        <f>AI126*VLOOKUP('Données projet'!$B$10,Paramètres!$A$1:$I$89,3,0)*VLOOKUP('Données projet'!$B$10,Paramètres!$A$1:$I$89,5,0)</f>
        <v>1.0049916454590858E-13</v>
      </c>
      <c r="AK126" s="13">
        <f t="shared" si="89"/>
        <v>1.5089081593838289E-12</v>
      </c>
      <c r="AL126" s="20">
        <f t="shared" si="58"/>
        <v>2.8030510891776262E-12</v>
      </c>
      <c r="AM126" s="59">
        <f t="shared" si="59"/>
        <v>293.3333333333361</v>
      </c>
      <c r="AN126" s="59">
        <f ca="1">AVERAGE(OFFSET($AM$3,0,0,'Données projet'!$E$10+1,1))-AVERAGE(OFFSET($H$3,0,0,'Données projet'!$E$10+1,1))</f>
        <v>343.36665824683809</v>
      </c>
      <c r="AO126" s="59">
        <f t="shared" si="90"/>
        <v>342.89042241858527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73.402616774642723</v>
      </c>
      <c r="AV126" s="21">
        <f>EXP(-LN(2)/25)*AV125+(1-EXP(-LN(2)/25))/(LN(2)/25)*Calculateur!AQ126*Calculateur!AS126*VLOOKUP('Données projet'!$B$10,Paramètres!$A$1:$I$89,3,0)*0.475*44/12</f>
        <v>17.54551528204944</v>
      </c>
      <c r="AW126" s="21">
        <f>EXP(-LN(2)/2)*AW125+(1-EXP(-LN(2)/2))/(LN(2)/2)*AQ126*AT126*VLOOKUP('Données projet'!$B$10,Paramètres!$A$1:$I$89,3,0)*0.475*44/12</f>
        <v>1.4898883755895993E-7</v>
      </c>
      <c r="AX126" s="21">
        <f t="shared" si="60"/>
        <v>90.948132205680992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-3.1036506698001178E-14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191.96190073146369</v>
      </c>
      <c r="BJ126" s="59">
        <f t="shared" si="92"/>
        <v>224.0560835232115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42.610294025572223</v>
      </c>
      <c r="BQ126" s="21">
        <f>EXP(-LN(2)/25)*BQ125+(1-EXP(-LN(2)/25))/(LN(2)/25)*Calculateur!BL126*Calculateur!BN126*VLOOKUP('Données projet'!$B$11,Paramètres!$A$1:$I$89,3,0)*0.475*44/12</f>
        <v>11.561058010529511</v>
      </c>
      <c r="BR126" s="21">
        <f>EXP(-LN(2)/2)*BR125+(1-EXP(-LN(2)/2))/(LN(2)/2)*BL126*BO126*VLOOKUP('Données projet'!$B$11,Paramètres!$A$1:$I$89,3,0)*0.475*44/12</f>
        <v>7.7910171323055943E-8</v>
      </c>
      <c r="BS126" s="22">
        <f t="shared" si="63"/>
        <v>54.17135211401191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-4.5474735088646412E-13</v>
      </c>
      <c r="O127" s="13">
        <f>N127*VLOOKUP('Données projet'!$B$9,Paramètres!$A$1:$I$89,3,0)*VLOOKUP('Données projet'!$B$9,Paramètres!$A$1:$I$89,5,0)</f>
        <v>-2.5420376914553347E-13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410.71046306000068</v>
      </c>
      <c r="T127" s="59">
        <f t="shared" si="88"/>
        <v>430.43167430170087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106.80037783371509</v>
      </c>
      <c r="AA127" s="21">
        <f>EXP(-LN(2)/25)*AA126+(1-EXP(-LN(2)/25))/(LN(2)/25)*Calculateur!V127*Calculateur!X127*VLOOKUP('Données projet'!$B$9,Paramètres!$A$1:$I$89,3,0)*0.475*44/12</f>
        <v>12.710940465928529</v>
      </c>
      <c r="AB127" s="21">
        <f>EXP(-LN(2)/2)*AB126+(1-EXP(-LN(2)/2))/(LN(2)/2)*V127*Y127*VLOOKUP('Données projet'!$B$9,Paramètres!$A$1:$I$89,3,0)*0.475*44/12</f>
        <v>5.9683347575363376E-8</v>
      </c>
      <c r="AC127" s="22">
        <f t="shared" si="57"/>
        <v>119.51131835932696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2.2737367544323206E-13</v>
      </c>
      <c r="AJ127" s="13">
        <f>AI127*VLOOKUP('Données projet'!$B$10,Paramètres!$A$1:$I$89,3,0)*VLOOKUP('Données projet'!$B$10,Paramètres!$A$1:$I$89,5,0)</f>
        <v>1.0049916454590858E-13</v>
      </c>
      <c r="AK127" s="13">
        <f t="shared" si="89"/>
        <v>1.5089081593838289E-12</v>
      </c>
      <c r="AL127" s="20">
        <f t="shared" si="58"/>
        <v>2.8030510891776262E-12</v>
      </c>
      <c r="AM127" s="59">
        <f t="shared" si="59"/>
        <v>293.3333333333361</v>
      </c>
      <c r="AN127" s="59">
        <f ca="1">AVERAGE(OFFSET($AM$3,0,0,'Données projet'!$E$10+1,1))-AVERAGE(OFFSET($H$3,0,0,'Données projet'!$E$10+1,1))</f>
        <v>343.36665824683809</v>
      </c>
      <c r="AO127" s="59">
        <f t="shared" si="90"/>
        <v>342.89042241858527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71.963236230867423</v>
      </c>
      <c r="AV127" s="21">
        <f>EXP(-LN(2)/25)*AV126+(1-EXP(-LN(2)/25))/(LN(2)/25)*Calculateur!AQ127*Calculateur!AS127*VLOOKUP('Données projet'!$B$10,Paramètres!$A$1:$I$89,3,0)*0.475*44/12</f>
        <v>17.065732243983248</v>
      </c>
      <c r="AW127" s="21">
        <f>EXP(-LN(2)/2)*AW126+(1-EXP(-LN(2)/2))/(LN(2)/2)*AQ127*AT127*VLOOKUP('Données projet'!$B$10,Paramètres!$A$1:$I$89,3,0)*0.475*44/12</f>
        <v>1.0535101735904155E-7</v>
      </c>
      <c r="AX127" s="21">
        <f t="shared" si="60"/>
        <v>89.028968580201692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-3.1036506698001178E-14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191.96190073146369</v>
      </c>
      <c r="BJ127" s="59">
        <f t="shared" si="92"/>
        <v>224.0560835232115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41.774732149443835</v>
      </c>
      <c r="BQ127" s="21">
        <f>EXP(-LN(2)/25)*BQ126+(1-EXP(-LN(2)/25))/(LN(2)/25)*Calculateur!BL127*Calculateur!BN127*VLOOKUP('Données projet'!$B$11,Paramètres!$A$1:$I$89,3,0)*0.475*44/12</f>
        <v>11.244920271261963</v>
      </c>
      <c r="BR127" s="21">
        <f>EXP(-LN(2)/2)*BR126+(1-EXP(-LN(2)/2))/(LN(2)/2)*BL127*BO127*VLOOKUP('Données projet'!$B$11,Paramètres!$A$1:$I$89,3,0)*0.475*44/12</f>
        <v>5.509081046593855E-8</v>
      </c>
      <c r="BS127" s="22">
        <f t="shared" si="63"/>
        <v>53.019652475796605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-4.5474735088646412E-13</v>
      </c>
      <c r="O128" s="13">
        <f>N128*VLOOKUP('Données projet'!$B$9,Paramètres!$A$1:$I$89,3,0)*VLOOKUP('Données projet'!$B$9,Paramètres!$A$1:$I$89,5,0)</f>
        <v>-2.5420376914553347E-13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410.71046306000068</v>
      </c>
      <c r="T128" s="59">
        <f t="shared" si="88"/>
        <v>430.43167430170087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104.7060875661942</v>
      </c>
      <c r="AA128" s="21">
        <f>EXP(-LN(2)/25)*AA127+(1-EXP(-LN(2)/25))/(LN(2)/25)*Calculateur!V128*Calculateur!X128*VLOOKUP('Données projet'!$B$9,Paramètres!$A$1:$I$89,3,0)*0.475*44/12</f>
        <v>12.363359130448405</v>
      </c>
      <c r="AB128" s="21">
        <f>EXP(-LN(2)/2)*AB127+(1-EXP(-LN(2)/2))/(LN(2)/2)*V128*Y128*VLOOKUP('Données projet'!$B$9,Paramètres!$A$1:$I$89,3,0)*0.475*44/12</f>
        <v>4.2202499794453132E-8</v>
      </c>
      <c r="AC128" s="22">
        <f t="shared" si="57"/>
        <v>117.0694467388451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2.2737367544323206E-13</v>
      </c>
      <c r="AJ128" s="13">
        <f>AI128*VLOOKUP('Données projet'!$B$10,Paramètres!$A$1:$I$89,3,0)*VLOOKUP('Données projet'!$B$10,Paramètres!$A$1:$I$89,5,0)</f>
        <v>1.0049916454590858E-13</v>
      </c>
      <c r="AK128" s="13">
        <f t="shared" si="89"/>
        <v>1.5089081593838289E-12</v>
      </c>
      <c r="AL128" s="20">
        <f t="shared" si="58"/>
        <v>2.8030510891776262E-12</v>
      </c>
      <c r="AM128" s="59">
        <f t="shared" si="59"/>
        <v>293.3333333333361</v>
      </c>
      <c r="AN128" s="59">
        <f ca="1">AVERAGE(OFFSET($AM$3,0,0,'Données projet'!$E$10+1,1))-AVERAGE(OFFSET($H$3,0,0,'Données projet'!$E$10+1,1))</f>
        <v>343.36665824683809</v>
      </c>
      <c r="AO128" s="59">
        <f t="shared" si="90"/>
        <v>342.89042241858527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70.552081061620115</v>
      </c>
      <c r="AV128" s="21">
        <f>EXP(-LN(2)/25)*AV127+(1-EXP(-LN(2)/25))/(LN(2)/25)*Calculateur!AQ128*Calculateur!AS128*VLOOKUP('Données projet'!$B$10,Paramètres!$A$1:$I$89,3,0)*0.475*44/12</f>
        <v>16.599068898323672</v>
      </c>
      <c r="AW128" s="21">
        <f>EXP(-LN(2)/2)*AW127+(1-EXP(-LN(2)/2))/(LN(2)/2)*AQ128*AT128*VLOOKUP('Données projet'!$B$10,Paramètres!$A$1:$I$89,3,0)*0.475*44/12</f>
        <v>7.4494418779479965E-8</v>
      </c>
      <c r="AX128" s="21">
        <f t="shared" si="60"/>
        <v>87.151150034438203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-3.1036506698001178E-14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191.96190073146369</v>
      </c>
      <c r="BJ128" s="59">
        <f t="shared" si="92"/>
        <v>224.0560835232115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40.955555132063907</v>
      </c>
      <c r="BQ128" s="21">
        <f>EXP(-LN(2)/25)*BQ127+(1-EXP(-LN(2)/25))/(LN(2)/25)*Calculateur!BL128*Calculateur!BN128*VLOOKUP('Données projet'!$B$11,Paramètres!$A$1:$I$89,3,0)*0.475*44/12</f>
        <v>10.937427335099647</v>
      </c>
      <c r="BR128" s="21">
        <f>EXP(-LN(2)/2)*BR127+(1-EXP(-LN(2)/2))/(LN(2)/2)*BL128*BO128*VLOOKUP('Données projet'!$B$11,Paramètres!$A$1:$I$89,3,0)*0.475*44/12</f>
        <v>3.8955085661527972E-8</v>
      </c>
      <c r="BS128" s="22">
        <f t="shared" si="63"/>
        <v>51.892982506118642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-4.5474735088646412E-13</v>
      </c>
      <c r="O129" s="13">
        <f>N129*VLOOKUP('Données projet'!$B$9,Paramètres!$A$1:$I$89,3,0)*VLOOKUP('Données projet'!$B$9,Paramètres!$A$1:$I$89,5,0)</f>
        <v>-2.5420376914553347E-13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410.71046306000068</v>
      </c>
      <c r="T129" s="59">
        <f t="shared" si="88"/>
        <v>430.43167430170087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102.65286505342846</v>
      </c>
      <c r="AA129" s="21">
        <f>EXP(-LN(2)/25)*AA128+(1-EXP(-LN(2)/25))/(LN(2)/25)*Calculateur!V129*Calculateur!X129*VLOOKUP('Données projet'!$B$9,Paramètres!$A$1:$I$89,3,0)*0.475*44/12</f>
        <v>12.025282424865493</v>
      </c>
      <c r="AB129" s="21">
        <f>EXP(-LN(2)/2)*AB128+(1-EXP(-LN(2)/2))/(LN(2)/2)*V129*Y129*VLOOKUP('Données projet'!$B$9,Paramètres!$A$1:$I$89,3,0)*0.475*44/12</f>
        <v>2.9841673787681688E-8</v>
      </c>
      <c r="AC129" s="22">
        <f t="shared" si="57"/>
        <v>114.67814750813562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2.2737367544323206E-13</v>
      </c>
      <c r="AJ129" s="13">
        <f>AI129*VLOOKUP('Données projet'!$B$10,Paramètres!$A$1:$I$89,3,0)*VLOOKUP('Données projet'!$B$10,Paramètres!$A$1:$I$89,5,0)</f>
        <v>1.0049916454590858E-13</v>
      </c>
      <c r="AK129" s="13">
        <f t="shared" si="89"/>
        <v>1.5089081593838289E-12</v>
      </c>
      <c r="AL129" s="20">
        <f t="shared" si="58"/>
        <v>2.8030510891776262E-12</v>
      </c>
      <c r="AM129" s="59">
        <f t="shared" si="59"/>
        <v>293.3333333333361</v>
      </c>
      <c r="AN129" s="59">
        <f ca="1">AVERAGE(OFFSET($AM$3,0,0,'Données projet'!$E$10+1,1))-AVERAGE(OFFSET($H$3,0,0,'Données projet'!$E$10+1,1))</f>
        <v>343.36665824683809</v>
      </c>
      <c r="AO129" s="59">
        <f t="shared" si="90"/>
        <v>342.89042241858527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69.168597784522078</v>
      </c>
      <c r="AV129" s="21">
        <f>EXP(-LN(2)/25)*AV128+(1-EXP(-LN(2)/25))/(LN(2)/25)*Calculateur!AQ129*Calculateur!AS129*VLOOKUP('Données projet'!$B$10,Paramètres!$A$1:$I$89,3,0)*0.475*44/12</f>
        <v>16.145166486391915</v>
      </c>
      <c r="AW129" s="21">
        <f>EXP(-LN(2)/2)*AW128+(1-EXP(-LN(2)/2))/(LN(2)/2)*AQ129*AT129*VLOOKUP('Données projet'!$B$10,Paramètres!$A$1:$I$89,3,0)*0.475*44/12</f>
        <v>5.2675508679520777E-8</v>
      </c>
      <c r="AX129" s="21">
        <f t="shared" si="60"/>
        <v>85.313764323589496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-3.1036506698001178E-14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191.96190073146369</v>
      </c>
      <c r="BJ129" s="59">
        <f t="shared" si="92"/>
        <v>224.0560835232115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40.15244167634615</v>
      </c>
      <c r="BQ129" s="21">
        <f>EXP(-LN(2)/25)*BQ128+(1-EXP(-LN(2)/25))/(LN(2)/25)*Calculateur!BL129*Calculateur!BN129*VLOOKUP('Données projet'!$B$11,Paramètres!$A$1:$I$89,3,0)*0.475*44/12</f>
        <v>10.638342809447041</v>
      </c>
      <c r="BR129" s="21">
        <f>EXP(-LN(2)/2)*BR128+(1-EXP(-LN(2)/2))/(LN(2)/2)*BL129*BO129*VLOOKUP('Données projet'!$B$11,Paramètres!$A$1:$I$89,3,0)*0.475*44/12</f>
        <v>2.7545405232969275E-8</v>
      </c>
      <c r="BS129" s="22">
        <f t="shared" si="63"/>
        <v>50.790784513338593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-4.5474735088646412E-13</v>
      </c>
      <c r="O130" s="13">
        <f>N130*VLOOKUP('Données projet'!$B$9,Paramètres!$A$1:$I$89,3,0)*VLOOKUP('Données projet'!$B$9,Paramètres!$A$1:$I$89,5,0)</f>
        <v>-2.5420376914553347E-13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410.71046306000068</v>
      </c>
      <c r="T130" s="59">
        <f t="shared" si="88"/>
        <v>430.43167430170087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100.63990498179598</v>
      </c>
      <c r="AA130" s="21">
        <f>EXP(-LN(2)/25)*AA129+(1-EXP(-LN(2)/25))/(LN(2)/25)*Calculateur!V130*Calculateur!X130*VLOOKUP('Données projet'!$B$9,Paramètres!$A$1:$I$89,3,0)*0.475*44/12</f>
        <v>11.696450444575428</v>
      </c>
      <c r="AB130" s="21">
        <f>EXP(-LN(2)/2)*AB129+(1-EXP(-LN(2)/2))/(LN(2)/2)*V130*Y130*VLOOKUP('Données projet'!$B$9,Paramètres!$A$1:$I$89,3,0)*0.475*44/12</f>
        <v>2.1101249897226566E-8</v>
      </c>
      <c r="AC130" s="22">
        <f t="shared" si="57"/>
        <v>112.33635544747266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2.2737367544323206E-13</v>
      </c>
      <c r="AJ130" s="13">
        <f>AI130*VLOOKUP('Données projet'!$B$10,Paramètres!$A$1:$I$89,3,0)*VLOOKUP('Données projet'!$B$10,Paramètres!$A$1:$I$89,5,0)</f>
        <v>1.0049916454590858E-13</v>
      </c>
      <c r="AK130" s="13">
        <f t="shared" si="89"/>
        <v>1.5089081593838289E-12</v>
      </c>
      <c r="AL130" s="20">
        <f t="shared" si="58"/>
        <v>2.8030510891776262E-12</v>
      </c>
      <c r="AM130" s="59">
        <f t="shared" si="59"/>
        <v>293.3333333333361</v>
      </c>
      <c r="AN130" s="59">
        <f ca="1">AVERAGE(OFFSET($AM$3,0,0,'Données projet'!$E$10+1,1))-AVERAGE(OFFSET($H$3,0,0,'Données projet'!$E$10+1,1))</f>
        <v>343.36665824683809</v>
      </c>
      <c r="AO130" s="59">
        <f t="shared" si="90"/>
        <v>342.89042241858527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67.812243770646461</v>
      </c>
      <c r="AV130" s="21">
        <f>EXP(-LN(2)/25)*AV129+(1-EXP(-LN(2)/25))/(LN(2)/25)*Calculateur!AQ130*Calculateur!AS130*VLOOKUP('Données projet'!$B$10,Paramètres!$A$1:$I$89,3,0)*0.475*44/12</f>
        <v>15.703676059784122</v>
      </c>
      <c r="AW130" s="21">
        <f>EXP(-LN(2)/2)*AW129+(1-EXP(-LN(2)/2))/(LN(2)/2)*AQ130*AT130*VLOOKUP('Données projet'!$B$10,Paramètres!$A$1:$I$89,3,0)*0.475*44/12</f>
        <v>3.7247209389739982E-8</v>
      </c>
      <c r="AX130" s="21">
        <f t="shared" si="60"/>
        <v>83.515919867677795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-3.1036506698001178E-14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191.96190073146369</v>
      </c>
      <c r="BJ130" s="59">
        <f t="shared" si="92"/>
        <v>224.0560835232115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39.365076785644185</v>
      </c>
      <c r="BQ130" s="21">
        <f>EXP(-LN(2)/25)*BQ129+(1-EXP(-LN(2)/25))/(LN(2)/25)*Calculateur!BL130*Calculateur!BN130*VLOOKUP('Données projet'!$B$11,Paramètres!$A$1:$I$89,3,0)*0.475*44/12</f>
        <v>10.347436765876576</v>
      </c>
      <c r="BR130" s="21">
        <f>EXP(-LN(2)/2)*BR129+(1-EXP(-LN(2)/2))/(LN(2)/2)*BL130*BO130*VLOOKUP('Données projet'!$B$11,Paramètres!$A$1:$I$89,3,0)*0.475*44/12</f>
        <v>1.9477542830763986E-8</v>
      </c>
      <c r="BS130" s="22">
        <f t="shared" si="63"/>
        <v>49.712513570998297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-4.5474735088646412E-13</v>
      </c>
      <c r="O131" s="13">
        <f>N131*VLOOKUP('Données projet'!$B$9,Paramètres!$A$1:$I$89,3,0)*VLOOKUP('Données projet'!$B$9,Paramètres!$A$1:$I$89,5,0)</f>
        <v>-2.5420376914553347E-13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410.71046306000068</v>
      </c>
      <c r="T131" s="59">
        <f t="shared" si="88"/>
        <v>430.43167430170087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98.666417829383803</v>
      </c>
      <c r="AA131" s="21">
        <f>EXP(-LN(2)/25)*AA130+(1-EXP(-LN(2)/25))/(LN(2)/25)*Calculateur!V131*Calculateur!X131*VLOOKUP('Données projet'!$B$9,Paramètres!$A$1:$I$89,3,0)*0.475*44/12</f>
        <v>11.376610392078916</v>
      </c>
      <c r="AB131" s="21">
        <f>EXP(-LN(2)/2)*AB130+(1-EXP(-LN(2)/2))/(LN(2)/2)*V131*Y131*VLOOKUP('Données projet'!$B$9,Paramètres!$A$1:$I$89,3,0)*0.475*44/12</f>
        <v>1.4920836893840844E-8</v>
      </c>
      <c r="AC131" s="22">
        <f t="shared" si="57"/>
        <v>110.04302823638356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2.2737367544323206E-13</v>
      </c>
      <c r="AJ131" s="13">
        <f>AI131*VLOOKUP('Données projet'!$B$10,Paramètres!$A$1:$I$89,3,0)*VLOOKUP('Données projet'!$B$10,Paramètres!$A$1:$I$89,5,0)</f>
        <v>1.0049916454590858E-13</v>
      </c>
      <c r="AK131" s="13">
        <f t="shared" si="89"/>
        <v>1.5089081593838289E-12</v>
      </c>
      <c r="AL131" s="20">
        <f t="shared" si="58"/>
        <v>2.8030510891776262E-12</v>
      </c>
      <c r="AM131" s="59">
        <f t="shared" si="59"/>
        <v>293.3333333333361</v>
      </c>
      <c r="AN131" s="59">
        <f ca="1">AVERAGE(OFFSET($AM$3,0,0,'Données projet'!$E$10+1,1))-AVERAGE(OFFSET($H$3,0,0,'Données projet'!$E$10+1,1))</f>
        <v>343.36665824683809</v>
      </c>
      <c r="AO131" s="59">
        <f t="shared" si="90"/>
        <v>342.89042241858527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66.482487031688692</v>
      </c>
      <c r="AV131" s="21">
        <f>EXP(-LN(2)/25)*AV130+(1-EXP(-LN(2)/25))/(LN(2)/25)*Calculateur!AQ131*Calculateur!AS131*VLOOKUP('Données projet'!$B$10,Paramètres!$A$1:$I$89,3,0)*0.475*44/12</f>
        <v>15.274258212108892</v>
      </c>
      <c r="AW131" s="21">
        <f>EXP(-LN(2)/2)*AW130+(1-EXP(-LN(2)/2))/(LN(2)/2)*AQ131*AT131*VLOOKUP('Données projet'!$B$10,Paramètres!$A$1:$I$89,3,0)*0.475*44/12</f>
        <v>2.6337754339760388E-8</v>
      </c>
      <c r="AX131" s="21">
        <f t="shared" si="60"/>
        <v>81.75674527013534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-3.1036506698001178E-14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191.96190073146369</v>
      </c>
      <c r="BJ131" s="59">
        <f t="shared" si="92"/>
        <v>224.0560835232115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38.593151640203722</v>
      </c>
      <c r="BQ131" s="21">
        <f>EXP(-LN(2)/25)*BQ130+(1-EXP(-LN(2)/25))/(LN(2)/25)*Calculateur!BL131*Calculateur!BN131*VLOOKUP('Données projet'!$B$11,Paramètres!$A$1:$I$89,3,0)*0.475*44/12</f>
        <v>10.064485563365631</v>
      </c>
      <c r="BR131" s="21">
        <f>EXP(-LN(2)/2)*BR130+(1-EXP(-LN(2)/2))/(LN(2)/2)*BL131*BO131*VLOOKUP('Données projet'!$B$11,Paramètres!$A$1:$I$89,3,0)*0.475*44/12</f>
        <v>1.3772702616484637E-8</v>
      </c>
      <c r="BS131" s="22">
        <f t="shared" si="63"/>
        <v>48.657637217342057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-4.5474735088646412E-13</v>
      </c>
      <c r="O132" s="13">
        <f>N132*VLOOKUP('Données projet'!$B$9,Paramètres!$A$1:$I$89,3,0)*VLOOKUP('Données projet'!$B$9,Paramètres!$A$1:$I$89,5,0)</f>
        <v>-2.5420376914553347E-13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410.71046306000068</v>
      </c>
      <c r="T132" s="59">
        <f t="shared" si="88"/>
        <v>430.43167430170087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96.731629556322119</v>
      </c>
      <c r="AA132" s="21">
        <f>EXP(-LN(2)/25)*AA131+(1-EXP(-LN(2)/25))/(LN(2)/25)*Calculateur!V132*Calculateur!X132*VLOOKUP('Données projet'!$B$9,Paramètres!$A$1:$I$89,3,0)*0.475*44/12</f>
        <v>11.065516382637579</v>
      </c>
      <c r="AB132" s="21">
        <f>EXP(-LN(2)/2)*AB131+(1-EXP(-LN(2)/2))/(LN(2)/2)*V132*Y132*VLOOKUP('Données projet'!$B$9,Paramètres!$A$1:$I$89,3,0)*0.475*44/12</f>
        <v>1.0550624948613283E-8</v>
      </c>
      <c r="AC132" s="22">
        <f t="shared" ref="AC132:AC153" si="111">SUM(Z132:AB132)</f>
        <v>107.79714594951032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2.2737367544323206E-13</v>
      </c>
      <c r="AJ132" s="13">
        <f>AI132*VLOOKUP('Données projet'!$B$10,Paramètres!$A$1:$I$89,3,0)*VLOOKUP('Données projet'!$B$10,Paramètres!$A$1:$I$89,5,0)</f>
        <v>1.0049916454590858E-13</v>
      </c>
      <c r="AK132" s="13">
        <f t="shared" si="89"/>
        <v>1.5089081593838289E-12</v>
      </c>
      <c r="AL132" s="20">
        <f t="shared" ref="AL132:AL153" si="112">(AJ132+AK132)*0.475*44/12</f>
        <v>2.8030510891776262E-12</v>
      </c>
      <c r="AM132" s="59">
        <f t="shared" ref="AM132:AM195" si="113">AL132+(AD132+AE132)*44/12</f>
        <v>293.3333333333361</v>
      </c>
      <c r="AN132" s="59">
        <f ca="1">AVERAGE(OFFSET($AM$3,0,0,'Données projet'!$E$10+1,1))-AVERAGE(OFFSET($H$3,0,0,'Données projet'!$E$10+1,1))</f>
        <v>343.36665824683809</v>
      </c>
      <c r="AO132" s="59">
        <f t="shared" si="90"/>
        <v>342.89042241858527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65.178806011310357</v>
      </c>
      <c r="AV132" s="21">
        <f>EXP(-LN(2)/25)*AV131+(1-EXP(-LN(2)/25))/(LN(2)/25)*Calculateur!AQ132*Calculateur!AS132*VLOOKUP('Données projet'!$B$10,Paramètres!$A$1:$I$89,3,0)*0.475*44/12</f>
        <v>14.856582818060444</v>
      </c>
      <c r="AW132" s="21">
        <f>EXP(-LN(2)/2)*AW131+(1-EXP(-LN(2)/2))/(LN(2)/2)*AQ132*AT132*VLOOKUP('Données projet'!$B$10,Paramètres!$A$1:$I$89,3,0)*0.475*44/12</f>
        <v>1.8623604694869991E-8</v>
      </c>
      <c r="AX132" s="21">
        <f t="shared" ref="AX132:AX153" si="114">SUM(AU132:AW132)</f>
        <v>80.035388847994412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-3.1036506698001178E-14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191.96190073146369</v>
      </c>
      <c r="BJ132" s="59">
        <f t="shared" si="92"/>
        <v>224.0560835232115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37.836363476037498</v>
      </c>
      <c r="BQ132" s="21">
        <f>EXP(-LN(2)/25)*BQ131+(1-EXP(-LN(2)/25))/(LN(2)/25)*Calculateur!BL132*Calculateur!BN132*VLOOKUP('Données projet'!$B$11,Paramètres!$A$1:$I$89,3,0)*0.475*44/12</f>
        <v>9.7892716763671039</v>
      </c>
      <c r="BR132" s="21">
        <f>EXP(-LN(2)/2)*BR131+(1-EXP(-LN(2)/2))/(LN(2)/2)*BL132*BO132*VLOOKUP('Données projet'!$B$11,Paramètres!$A$1:$I$89,3,0)*0.475*44/12</f>
        <v>9.7387714153819929E-9</v>
      </c>
      <c r="BS132" s="22">
        <f t="shared" ref="BS132:BS153" si="117">SUM(BP132:BR132)</f>
        <v>47.625635162143368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-4.5474735088646412E-13</v>
      </c>
      <c r="O133" s="13">
        <f>N133*VLOOKUP('Données projet'!$B$9,Paramètres!$A$1:$I$89,3,0)*VLOOKUP('Données projet'!$B$9,Paramètres!$A$1:$I$89,5,0)</f>
        <v>-2.5420376914553347E-13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410.71046306000068</v>
      </c>
      <c r="T133" s="59">
        <f t="shared" ref="T133:T196" si="142">$T$3</f>
        <v>430.43167430170087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94.834781301190858</v>
      </c>
      <c r="AA133" s="21">
        <f>EXP(-LN(2)/25)*AA132+(1-EXP(-LN(2)/25))/(LN(2)/25)*Calculateur!V133*Calculateur!X133*VLOOKUP('Données projet'!$B$9,Paramètres!$A$1:$I$89,3,0)*0.475*44/12</f>
        <v>10.762929255244138</v>
      </c>
      <c r="AB133" s="21">
        <f>EXP(-LN(2)/2)*AB132+(1-EXP(-LN(2)/2))/(LN(2)/2)*V133*Y133*VLOOKUP('Données projet'!$B$9,Paramètres!$A$1:$I$89,3,0)*0.475*44/12</f>
        <v>7.460418446920422E-9</v>
      </c>
      <c r="AC133" s="22">
        <f t="shared" si="111"/>
        <v>105.59771056389542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2.2737367544323206E-13</v>
      </c>
      <c r="AJ133" s="13">
        <f>AI133*VLOOKUP('Données projet'!$B$10,Paramètres!$A$1:$I$89,3,0)*VLOOKUP('Données projet'!$B$10,Paramètres!$A$1:$I$89,5,0)</f>
        <v>1.0049916454590858E-13</v>
      </c>
      <c r="AK133" s="13">
        <f t="shared" ref="AK133:AK153" si="143">EXP(-1.0587+0.8836*LN(AJ133)+0.284)</f>
        <v>1.5089081593838289E-12</v>
      </c>
      <c r="AL133" s="20">
        <f t="shared" si="112"/>
        <v>2.8030510891776262E-12</v>
      </c>
      <c r="AM133" s="59">
        <f t="shared" si="113"/>
        <v>293.3333333333361</v>
      </c>
      <c r="AN133" s="59">
        <f ca="1">AVERAGE(OFFSET($AM$3,0,0,'Données projet'!$E$10+1,1))-AVERAGE(OFFSET($H$3,0,0,'Données projet'!$E$10+1,1))</f>
        <v>343.36665824683809</v>
      </c>
      <c r="AO133" s="59">
        <f t="shared" ref="AO133:AO196" si="144">$AO$3</f>
        <v>342.89042241858527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63.900689380574732</v>
      </c>
      <c r="AV133" s="21">
        <f>EXP(-LN(2)/25)*AV132+(1-EXP(-LN(2)/25))/(LN(2)/25)*Calculateur!AQ133*Calculateur!AS133*VLOOKUP('Données projet'!$B$10,Paramètres!$A$1:$I$89,3,0)*0.475*44/12</f>
        <v>14.450328779626846</v>
      </c>
      <c r="AW133" s="21">
        <f>EXP(-LN(2)/2)*AW132+(1-EXP(-LN(2)/2))/(LN(2)/2)*AQ133*AT133*VLOOKUP('Données projet'!$B$10,Paramètres!$A$1:$I$89,3,0)*0.475*44/12</f>
        <v>1.3168877169880194E-8</v>
      </c>
      <c r="AX133" s="21">
        <f t="shared" si="114"/>
        <v>78.351018173370448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-3.1036506698001178E-14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191.96190073146369</v>
      </c>
      <c r="BJ133" s="59">
        <f t="shared" ref="BJ133:BJ196" si="146">$BJ$3</f>
        <v>224.0560835232115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37.09441546617537</v>
      </c>
      <c r="BQ133" s="21">
        <f>EXP(-LN(2)/25)*BQ132+(1-EXP(-LN(2)/25))/(LN(2)/25)*Calculateur!BL133*Calculateur!BN133*VLOOKUP('Données projet'!$B$11,Paramètres!$A$1:$I$89,3,0)*0.475*44/12</f>
        <v>9.5215835275814218</v>
      </c>
      <c r="BR133" s="21">
        <f>EXP(-LN(2)/2)*BR132+(1-EXP(-LN(2)/2))/(LN(2)/2)*BL133*BO133*VLOOKUP('Données projet'!$B$11,Paramètres!$A$1:$I$89,3,0)*0.475*44/12</f>
        <v>6.8863513082423187E-9</v>
      </c>
      <c r="BS133" s="22">
        <f t="shared" si="117"/>
        <v>46.615999000643143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-4.5474735088646412E-13</v>
      </c>
      <c r="O134" s="13">
        <f>N134*VLOOKUP('Données projet'!$B$9,Paramètres!$A$1:$I$89,3,0)*VLOOKUP('Données projet'!$B$9,Paramètres!$A$1:$I$89,5,0)</f>
        <v>-2.5420376914553347E-13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410.71046306000068</v>
      </c>
      <c r="T134" s="59">
        <f t="shared" si="142"/>
        <v>430.43167430170087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92.975129083379528</v>
      </c>
      <c r="AA134" s="21">
        <f>EXP(-LN(2)/25)*AA133+(1-EXP(-LN(2)/25))/(LN(2)/25)*Calculateur!V134*Calculateur!X134*VLOOKUP('Données projet'!$B$9,Paramètres!$A$1:$I$89,3,0)*0.475*44/12</f>
        <v>10.468616388761637</v>
      </c>
      <c r="AB134" s="21">
        <f>EXP(-LN(2)/2)*AB133+(1-EXP(-LN(2)/2))/(LN(2)/2)*V134*Y134*VLOOKUP('Données projet'!$B$9,Paramètres!$A$1:$I$89,3,0)*0.475*44/12</f>
        <v>5.2753124743066415E-9</v>
      </c>
      <c r="AC134" s="22">
        <f t="shared" si="111"/>
        <v>103.44374547741647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2.2737367544323206E-13</v>
      </c>
      <c r="AJ134" s="13">
        <f>AI134*VLOOKUP('Données projet'!$B$10,Paramètres!$A$1:$I$89,3,0)*VLOOKUP('Données projet'!$B$10,Paramètres!$A$1:$I$89,5,0)</f>
        <v>1.0049916454590858E-13</v>
      </c>
      <c r="AK134" s="13">
        <f t="shared" si="143"/>
        <v>1.5089081593838289E-12</v>
      </c>
      <c r="AL134" s="20">
        <f t="shared" si="112"/>
        <v>2.8030510891776262E-12</v>
      </c>
      <c r="AM134" s="59">
        <f t="shared" si="113"/>
        <v>293.3333333333361</v>
      </c>
      <c r="AN134" s="59">
        <f ca="1">AVERAGE(OFFSET($AM$3,0,0,'Données projet'!$E$10+1,1))-AVERAGE(OFFSET($H$3,0,0,'Données projet'!$E$10+1,1))</f>
        <v>343.36665824683809</v>
      </c>
      <c r="AO134" s="59">
        <f t="shared" si="144"/>
        <v>342.89042241858527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62.647635837393665</v>
      </c>
      <c r="AV134" s="21">
        <f>EXP(-LN(2)/25)*AV133+(1-EXP(-LN(2)/25))/(LN(2)/25)*Calculateur!AQ134*Calculateur!AS134*VLOOKUP('Données projet'!$B$10,Paramètres!$A$1:$I$89,3,0)*0.475*44/12</f>
        <v>14.055183779238186</v>
      </c>
      <c r="AW134" s="21">
        <f>EXP(-LN(2)/2)*AW133+(1-EXP(-LN(2)/2))/(LN(2)/2)*AQ134*AT134*VLOOKUP('Données projet'!$B$10,Paramètres!$A$1:$I$89,3,0)*0.475*44/12</f>
        <v>9.3118023474349956E-9</v>
      </c>
      <c r="AX134" s="21">
        <f t="shared" si="114"/>
        <v>76.702819625943661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-3.1036506698001178E-14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191.96190073146369</v>
      </c>
      <c r="BJ134" s="59">
        <f t="shared" si="146"/>
        <v>224.0560835232115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36.367016604243034</v>
      </c>
      <c r="BQ134" s="21">
        <f>EXP(-LN(2)/25)*BQ133+(1-EXP(-LN(2)/25))/(LN(2)/25)*Calculateur!BL134*Calculateur!BN134*VLOOKUP('Données projet'!$B$11,Paramètres!$A$1:$I$89,3,0)*0.475*44/12</f>
        <v>9.2612153253013911</v>
      </c>
      <c r="BR134" s="21">
        <f>EXP(-LN(2)/2)*BR133+(1-EXP(-LN(2)/2))/(LN(2)/2)*BL134*BO134*VLOOKUP('Données projet'!$B$11,Paramètres!$A$1:$I$89,3,0)*0.475*44/12</f>
        <v>4.8693857076909964E-9</v>
      </c>
      <c r="BS134" s="22">
        <f t="shared" si="117"/>
        <v>45.628231934413812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-4.5474735088646412E-13</v>
      </c>
      <c r="O135" s="13">
        <f>N135*VLOOKUP('Données projet'!$B$9,Paramètres!$A$1:$I$89,3,0)*VLOOKUP('Données projet'!$B$9,Paramètres!$A$1:$I$89,5,0)</f>
        <v>-2.5420376914553347E-13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410.71046306000068</v>
      </c>
      <c r="T135" s="59">
        <f t="shared" si="142"/>
        <v>430.43167430170087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91.151943511283619</v>
      </c>
      <c r="AA135" s="21">
        <f>EXP(-LN(2)/25)*AA134+(1-EXP(-LN(2)/25))/(LN(2)/25)*Calculateur!V135*Calculateur!X135*VLOOKUP('Données projet'!$B$9,Paramètres!$A$1:$I$89,3,0)*0.475*44/12</f>
        <v>10.18235152309034</v>
      </c>
      <c r="AB135" s="21">
        <f>EXP(-LN(2)/2)*AB134+(1-EXP(-LN(2)/2))/(LN(2)/2)*V135*Y135*VLOOKUP('Données projet'!$B$9,Paramètres!$A$1:$I$89,3,0)*0.475*44/12</f>
        <v>3.730209223460211E-9</v>
      </c>
      <c r="AC135" s="22">
        <f t="shared" si="111"/>
        <v>101.33429503810416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2.2737367544323206E-13</v>
      </c>
      <c r="AJ135" s="13">
        <f>AI135*VLOOKUP('Données projet'!$B$10,Paramètres!$A$1:$I$89,3,0)*VLOOKUP('Données projet'!$B$10,Paramètres!$A$1:$I$89,5,0)</f>
        <v>1.0049916454590858E-13</v>
      </c>
      <c r="AK135" s="13">
        <f t="shared" si="143"/>
        <v>1.5089081593838289E-12</v>
      </c>
      <c r="AL135" s="20">
        <f t="shared" si="112"/>
        <v>2.8030510891776262E-12</v>
      </c>
      <c r="AM135" s="59">
        <f t="shared" si="113"/>
        <v>293.3333333333361</v>
      </c>
      <c r="AN135" s="59">
        <f ca="1">AVERAGE(OFFSET($AM$3,0,0,'Données projet'!$E$10+1,1))-AVERAGE(OFFSET($H$3,0,0,'Données projet'!$E$10+1,1))</f>
        <v>343.36665824683809</v>
      </c>
      <c r="AO135" s="59">
        <f t="shared" si="144"/>
        <v>342.89042241858527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61.419153909907187</v>
      </c>
      <c r="AV135" s="21">
        <f>EXP(-LN(2)/25)*AV134+(1-EXP(-LN(2)/25))/(LN(2)/25)*Calculateur!AQ135*Calculateur!AS135*VLOOKUP('Données projet'!$B$10,Paramètres!$A$1:$I$89,3,0)*0.475*44/12</f>
        <v>13.670844039664926</v>
      </c>
      <c r="AW135" s="21">
        <f>EXP(-LN(2)/2)*AW134+(1-EXP(-LN(2)/2))/(LN(2)/2)*AQ135*AT135*VLOOKUP('Données projet'!$B$10,Paramètres!$A$1:$I$89,3,0)*0.475*44/12</f>
        <v>6.5844385849400971E-9</v>
      </c>
      <c r="AX135" s="21">
        <f t="shared" si="114"/>
        <v>75.089997956156552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-3.1036506698001178E-14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191.96190073146369</v>
      </c>
      <c r="BJ135" s="59">
        <f t="shared" si="146"/>
        <v>224.0560835232115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35.653881590323699</v>
      </c>
      <c r="BQ135" s="21">
        <f>EXP(-LN(2)/25)*BQ134+(1-EXP(-LN(2)/25))/(LN(2)/25)*Calculateur!BL135*Calculateur!BN135*VLOOKUP('Données projet'!$B$11,Paramètres!$A$1:$I$89,3,0)*0.475*44/12</f>
        <v>9.0079669052048779</v>
      </c>
      <c r="BR135" s="21">
        <f>EXP(-LN(2)/2)*BR134+(1-EXP(-LN(2)/2))/(LN(2)/2)*BL135*BO135*VLOOKUP('Données projet'!$B$11,Paramètres!$A$1:$I$89,3,0)*0.475*44/12</f>
        <v>3.4431756541211593E-9</v>
      </c>
      <c r="BS135" s="22">
        <f t="shared" si="117"/>
        <v>44.66184849897175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-4.5474735088646412E-13</v>
      </c>
      <c r="O136" s="13">
        <f>N136*VLOOKUP('Données projet'!$B$9,Paramètres!$A$1:$I$89,3,0)*VLOOKUP('Données projet'!$B$9,Paramètres!$A$1:$I$89,5,0)</f>
        <v>-2.5420376914553347E-13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410.71046306000068</v>
      </c>
      <c r="T136" s="59">
        <f t="shared" si="142"/>
        <v>430.43167430170087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89.364509496223121</v>
      </c>
      <c r="AA136" s="21">
        <f>EXP(-LN(2)/25)*AA135+(1-EXP(-LN(2)/25))/(LN(2)/25)*Calculateur!V136*Calculateur!X136*VLOOKUP('Données projet'!$B$9,Paramètres!$A$1:$I$89,3,0)*0.475*44/12</f>
        <v>9.9039145852248396</v>
      </c>
      <c r="AB136" s="21">
        <f>EXP(-LN(2)/2)*AB135+(1-EXP(-LN(2)/2))/(LN(2)/2)*V136*Y136*VLOOKUP('Données projet'!$B$9,Paramètres!$A$1:$I$89,3,0)*0.475*44/12</f>
        <v>2.6376562371533208E-9</v>
      </c>
      <c r="AC136" s="22">
        <f t="shared" si="111"/>
        <v>99.268424084085623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2.2737367544323206E-13</v>
      </c>
      <c r="AJ136" s="13">
        <f>AI136*VLOOKUP('Données projet'!$B$10,Paramètres!$A$1:$I$89,3,0)*VLOOKUP('Données projet'!$B$10,Paramètres!$A$1:$I$89,5,0)</f>
        <v>1.0049916454590858E-13</v>
      </c>
      <c r="AK136" s="13">
        <f t="shared" si="143"/>
        <v>1.5089081593838289E-12</v>
      </c>
      <c r="AL136" s="20">
        <f t="shared" si="112"/>
        <v>2.8030510891776262E-12</v>
      </c>
      <c r="AM136" s="59">
        <f t="shared" si="113"/>
        <v>293.3333333333361</v>
      </c>
      <c r="AN136" s="59">
        <f ca="1">AVERAGE(OFFSET($AM$3,0,0,'Données projet'!$E$10+1,1))-AVERAGE(OFFSET($H$3,0,0,'Données projet'!$E$10+1,1))</f>
        <v>343.36665824683809</v>
      </c>
      <c r="AO136" s="59">
        <f t="shared" si="144"/>
        <v>342.89042241858527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60.214761763718727</v>
      </c>
      <c r="AV136" s="21">
        <f>EXP(-LN(2)/25)*AV135+(1-EXP(-LN(2)/25))/(LN(2)/25)*Calculateur!AQ136*Calculateur!AS136*VLOOKUP('Données projet'!$B$10,Paramètres!$A$1:$I$89,3,0)*0.475*44/12</f>
        <v>13.297014090481847</v>
      </c>
      <c r="AW136" s="21">
        <f>EXP(-LN(2)/2)*AW135+(1-EXP(-LN(2)/2))/(LN(2)/2)*AQ136*AT136*VLOOKUP('Données projet'!$B$10,Paramètres!$A$1:$I$89,3,0)*0.475*44/12</f>
        <v>4.6559011737174978E-9</v>
      </c>
      <c r="AX136" s="21">
        <f t="shared" si="114"/>
        <v>73.511775858856481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-3.1036506698001178E-14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191.96190073146369</v>
      </c>
      <c r="BJ136" s="59">
        <f t="shared" si="146"/>
        <v>224.0560835232115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34.954730719057913</v>
      </c>
      <c r="BQ136" s="21">
        <f>EXP(-LN(2)/25)*BQ135+(1-EXP(-LN(2)/25))/(LN(2)/25)*Calculateur!BL136*Calculateur!BN136*VLOOKUP('Données projet'!$B$11,Paramètres!$A$1:$I$89,3,0)*0.475*44/12</f>
        <v>8.7616435764736593</v>
      </c>
      <c r="BR136" s="21">
        <f>EXP(-LN(2)/2)*BR135+(1-EXP(-LN(2)/2))/(LN(2)/2)*BL136*BO136*VLOOKUP('Données projet'!$B$11,Paramètres!$A$1:$I$89,3,0)*0.475*44/12</f>
        <v>2.4346928538454982E-9</v>
      </c>
      <c r="BS136" s="22">
        <f t="shared" si="117"/>
        <v>43.716374297966269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-4.5474735088646412E-13</v>
      </c>
      <c r="O137" s="13">
        <f>N137*VLOOKUP('Données projet'!$B$9,Paramètres!$A$1:$I$89,3,0)*VLOOKUP('Données projet'!$B$9,Paramètres!$A$1:$I$89,5,0)</f>
        <v>-2.5420376914553347E-13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410.71046306000068</v>
      </c>
      <c r="T137" s="59">
        <f t="shared" si="142"/>
        <v>430.43167430170087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87.612125971970869</v>
      </c>
      <c r="AA137" s="21">
        <f>EXP(-LN(2)/25)*AA136+(1-EXP(-LN(2)/25))/(LN(2)/25)*Calculateur!V137*Calculateur!X137*VLOOKUP('Données projet'!$B$9,Paramètres!$A$1:$I$89,3,0)*0.475*44/12</f>
        <v>9.6330915200676337</v>
      </c>
      <c r="AB137" s="21">
        <f>EXP(-LN(2)/2)*AB136+(1-EXP(-LN(2)/2))/(LN(2)/2)*V137*Y137*VLOOKUP('Données projet'!$B$9,Paramètres!$A$1:$I$89,3,0)*0.475*44/12</f>
        <v>1.8651046117301055E-9</v>
      </c>
      <c r="AC137" s="22">
        <f t="shared" si="111"/>
        <v>97.24521749390361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2.2737367544323206E-13</v>
      </c>
      <c r="AJ137" s="13">
        <f>AI137*VLOOKUP('Données projet'!$B$10,Paramètres!$A$1:$I$89,3,0)*VLOOKUP('Données projet'!$B$10,Paramètres!$A$1:$I$89,5,0)</f>
        <v>1.0049916454590858E-13</v>
      </c>
      <c r="AK137" s="13">
        <f t="shared" si="143"/>
        <v>1.5089081593838289E-12</v>
      </c>
      <c r="AL137" s="20">
        <f t="shared" si="112"/>
        <v>2.8030510891776262E-12</v>
      </c>
      <c r="AM137" s="59">
        <f t="shared" si="113"/>
        <v>293.3333333333361</v>
      </c>
      <c r="AN137" s="59">
        <f ca="1">AVERAGE(OFFSET($AM$3,0,0,'Données projet'!$E$10+1,1))-AVERAGE(OFFSET($H$3,0,0,'Données projet'!$E$10+1,1))</f>
        <v>343.36665824683809</v>
      </c>
      <c r="AO137" s="59">
        <f t="shared" si="144"/>
        <v>342.89042241858527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59.033987012910352</v>
      </c>
      <c r="AV137" s="21">
        <f>EXP(-LN(2)/25)*AV136+(1-EXP(-LN(2)/25))/(LN(2)/25)*Calculateur!AQ137*Calculateur!AS137*VLOOKUP('Données projet'!$B$10,Paramètres!$A$1:$I$89,3,0)*0.475*44/12</f>
        <v>12.933406540918041</v>
      </c>
      <c r="AW137" s="21">
        <f>EXP(-LN(2)/2)*AW136+(1-EXP(-LN(2)/2))/(LN(2)/2)*AQ137*AT137*VLOOKUP('Données projet'!$B$10,Paramètres!$A$1:$I$89,3,0)*0.475*44/12</f>
        <v>3.2922192924700485E-9</v>
      </c>
      <c r="AX137" s="21">
        <f t="shared" si="114"/>
        <v>71.967393557120602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-3.1036506698001178E-14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191.96190073146369</v>
      </c>
      <c r="BJ137" s="59">
        <f t="shared" si="146"/>
        <v>224.0560835232115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34.269289769937721</v>
      </c>
      <c r="BQ137" s="21">
        <f>EXP(-LN(2)/25)*BQ136+(1-EXP(-LN(2)/25))/(LN(2)/25)*Calculateur!BL137*Calculateur!BN137*VLOOKUP('Données projet'!$B$11,Paramètres!$A$1:$I$89,3,0)*0.475*44/12</f>
        <v>8.5220559721201763</v>
      </c>
      <c r="BR137" s="21">
        <f>EXP(-LN(2)/2)*BR136+(1-EXP(-LN(2)/2))/(LN(2)/2)*BL137*BO137*VLOOKUP('Données projet'!$B$11,Paramètres!$A$1:$I$89,3,0)*0.475*44/12</f>
        <v>1.7215878270605797E-9</v>
      </c>
      <c r="BS137" s="22">
        <f t="shared" si="117"/>
        <v>42.791345743779488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-4.5474735088646412E-13</v>
      </c>
      <c r="O138" s="13">
        <f>N138*VLOOKUP('Données projet'!$B$9,Paramètres!$A$1:$I$89,3,0)*VLOOKUP('Données projet'!$B$9,Paramètres!$A$1:$I$89,5,0)</f>
        <v>-2.5420376914553347E-13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410.71046306000068</v>
      </c>
      <c r="T138" s="59">
        <f t="shared" si="142"/>
        <v>430.43167430170087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85.894105619780788</v>
      </c>
      <c r="AA138" s="21">
        <f>EXP(-LN(2)/25)*AA137+(1-EXP(-LN(2)/25))/(LN(2)/25)*Calculateur!V138*Calculateur!X138*VLOOKUP('Données projet'!$B$9,Paramètres!$A$1:$I$89,3,0)*0.475*44/12</f>
        <v>9.3696741258691176</v>
      </c>
      <c r="AB138" s="21">
        <f>EXP(-LN(2)/2)*AB137+(1-EXP(-LN(2)/2))/(LN(2)/2)*V138*Y138*VLOOKUP('Données projet'!$B$9,Paramètres!$A$1:$I$89,3,0)*0.475*44/12</f>
        <v>1.3188281185766604E-9</v>
      </c>
      <c r="AC138" s="22">
        <f t="shared" si="111"/>
        <v>95.263779746968737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2.2737367544323206E-13</v>
      </c>
      <c r="AJ138" s="13">
        <f>AI138*VLOOKUP('Données projet'!$B$10,Paramètres!$A$1:$I$89,3,0)*VLOOKUP('Données projet'!$B$10,Paramètres!$A$1:$I$89,5,0)</f>
        <v>1.0049916454590858E-13</v>
      </c>
      <c r="AK138" s="13">
        <f t="shared" si="143"/>
        <v>1.5089081593838289E-12</v>
      </c>
      <c r="AL138" s="20">
        <f t="shared" si="112"/>
        <v>2.8030510891776262E-12</v>
      </c>
      <c r="AM138" s="59">
        <f t="shared" si="113"/>
        <v>293.3333333333361</v>
      </c>
      <c r="AN138" s="59">
        <f ca="1">AVERAGE(OFFSET($AM$3,0,0,'Données projet'!$E$10+1,1))-AVERAGE(OFFSET($H$3,0,0,'Données projet'!$E$10+1,1))</f>
        <v>343.36665824683809</v>
      </c>
      <c r="AO138" s="59">
        <f t="shared" si="144"/>
        <v>342.89042241858527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57.876366534763847</v>
      </c>
      <c r="AV138" s="21">
        <f>EXP(-LN(2)/25)*AV137+(1-EXP(-LN(2)/25))/(LN(2)/25)*Calculateur!AQ138*Calculateur!AS138*VLOOKUP('Données projet'!$B$10,Paramètres!$A$1:$I$89,3,0)*0.475*44/12</f>
        <v>12.579741858918347</v>
      </c>
      <c r="AW138" s="21">
        <f>EXP(-LN(2)/2)*AW137+(1-EXP(-LN(2)/2))/(LN(2)/2)*AQ138*AT138*VLOOKUP('Données projet'!$B$10,Paramètres!$A$1:$I$89,3,0)*0.475*44/12</f>
        <v>2.3279505868587489E-9</v>
      </c>
      <c r="AX138" s="21">
        <f t="shared" si="114"/>
        <v>70.456108396010151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-3.1036506698001178E-14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191.96190073146369</v>
      </c>
      <c r="BJ138" s="59">
        <f t="shared" si="146"/>
        <v>224.0560835232115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33.597289899752084</v>
      </c>
      <c r="BQ138" s="21">
        <f>EXP(-LN(2)/25)*BQ137+(1-EXP(-LN(2)/25))/(LN(2)/25)*Calculateur!BL138*Calculateur!BN138*VLOOKUP('Données projet'!$B$11,Paramètres!$A$1:$I$89,3,0)*0.475*44/12</f>
        <v>8.2890199034071035</v>
      </c>
      <c r="BR138" s="21">
        <f>EXP(-LN(2)/2)*BR137+(1-EXP(-LN(2)/2))/(LN(2)/2)*BL138*BO138*VLOOKUP('Données projet'!$B$11,Paramètres!$A$1:$I$89,3,0)*0.475*44/12</f>
        <v>1.2173464269227491E-9</v>
      </c>
      <c r="BS138" s="22">
        <f t="shared" si="117"/>
        <v>41.886309804376531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-4.5474735088646412E-13</v>
      </c>
      <c r="O139" s="13">
        <f>N139*VLOOKUP('Données projet'!$B$9,Paramètres!$A$1:$I$89,3,0)*VLOOKUP('Données projet'!$B$9,Paramètres!$A$1:$I$89,5,0)</f>
        <v>-2.5420376914553347E-13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410.71046306000068</v>
      </c>
      <c r="T139" s="59">
        <f t="shared" si="142"/>
        <v>430.43167430170087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84.20977459880821</v>
      </c>
      <c r="AA139" s="21">
        <f>EXP(-LN(2)/25)*AA138+(1-EXP(-LN(2)/25))/(LN(2)/25)*Calculateur!V139*Calculateur!X139*VLOOKUP('Données projet'!$B$9,Paramètres!$A$1:$I$89,3,0)*0.475*44/12</f>
        <v>9.1134598941674785</v>
      </c>
      <c r="AB139" s="21">
        <f>EXP(-LN(2)/2)*AB138+(1-EXP(-LN(2)/2))/(LN(2)/2)*V139*Y139*VLOOKUP('Données projet'!$B$9,Paramètres!$A$1:$I$89,3,0)*0.475*44/12</f>
        <v>9.3255230586505275E-10</v>
      </c>
      <c r="AC139" s="22">
        <f t="shared" si="111"/>
        <v>93.323234493908245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2.2737367544323206E-13</v>
      </c>
      <c r="AJ139" s="13">
        <f>AI139*VLOOKUP('Données projet'!$B$10,Paramètres!$A$1:$I$89,3,0)*VLOOKUP('Données projet'!$B$10,Paramètres!$A$1:$I$89,5,0)</f>
        <v>1.0049916454590858E-13</v>
      </c>
      <c r="AK139" s="13">
        <f t="shared" si="143"/>
        <v>1.5089081593838289E-12</v>
      </c>
      <c r="AL139" s="20">
        <f t="shared" si="112"/>
        <v>2.8030510891776262E-12</v>
      </c>
      <c r="AM139" s="59">
        <f t="shared" si="113"/>
        <v>293.3333333333361</v>
      </c>
      <c r="AN139" s="59">
        <f ca="1">AVERAGE(OFFSET($AM$3,0,0,'Données projet'!$E$10+1,1))-AVERAGE(OFFSET($H$3,0,0,'Données projet'!$E$10+1,1))</f>
        <v>343.36665824683809</v>
      </c>
      <c r="AO139" s="59">
        <f t="shared" si="144"/>
        <v>342.89042241858527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56.741446288115021</v>
      </c>
      <c r="AV139" s="21">
        <f>EXP(-LN(2)/25)*AV138+(1-EXP(-LN(2)/25))/(LN(2)/25)*Calculateur!AQ139*Calculateur!AS139*VLOOKUP('Données projet'!$B$10,Paramètres!$A$1:$I$89,3,0)*0.475*44/12</f>
        <v>12.235748156246352</v>
      </c>
      <c r="AW139" s="21">
        <f>EXP(-LN(2)/2)*AW138+(1-EXP(-LN(2)/2))/(LN(2)/2)*AQ139*AT139*VLOOKUP('Données projet'!$B$10,Paramètres!$A$1:$I$89,3,0)*0.475*44/12</f>
        <v>1.6461096462350243E-9</v>
      </c>
      <c r="AX139" s="21">
        <f t="shared" si="114"/>
        <v>68.977194446007488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-3.1036506698001178E-14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191.96190073146369</v>
      </c>
      <c r="BJ139" s="59">
        <f t="shared" si="146"/>
        <v>224.0560835232115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32.938467537141335</v>
      </c>
      <c r="BQ139" s="21">
        <f>EXP(-LN(2)/25)*BQ138+(1-EXP(-LN(2)/25))/(LN(2)/25)*Calculateur!BL139*Calculateur!BN139*VLOOKUP('Données projet'!$B$11,Paramètres!$A$1:$I$89,3,0)*0.475*44/12</f>
        <v>8.0623562182478246</v>
      </c>
      <c r="BR139" s="21">
        <f>EXP(-LN(2)/2)*BR138+(1-EXP(-LN(2)/2))/(LN(2)/2)*BL139*BO139*VLOOKUP('Données projet'!$B$11,Paramètres!$A$1:$I$89,3,0)*0.475*44/12</f>
        <v>8.6079391353028984E-10</v>
      </c>
      <c r="BS139" s="22">
        <f t="shared" si="117"/>
        <v>41.000823756249957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-4.5474735088646412E-13</v>
      </c>
      <c r="O140" s="13">
        <f>N140*VLOOKUP('Données projet'!$B$9,Paramètres!$A$1:$I$89,3,0)*VLOOKUP('Données projet'!$B$9,Paramètres!$A$1:$I$89,5,0)</f>
        <v>-2.5420376914553347E-13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410.71046306000068</v>
      </c>
      <c r="T140" s="59">
        <f t="shared" si="142"/>
        <v>430.43167430170087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82.558472281816421</v>
      </c>
      <c r="AA140" s="21">
        <f>EXP(-LN(2)/25)*AA139+(1-EXP(-LN(2)/25))/(LN(2)/25)*Calculateur!V140*Calculateur!X140*VLOOKUP('Données projet'!$B$9,Paramètres!$A$1:$I$89,3,0)*0.475*44/12</f>
        <v>8.8642518541054418</v>
      </c>
      <c r="AB140" s="21">
        <f>EXP(-LN(2)/2)*AB139+(1-EXP(-LN(2)/2))/(LN(2)/2)*V140*Y140*VLOOKUP('Données projet'!$B$9,Paramètres!$A$1:$I$89,3,0)*0.475*44/12</f>
        <v>6.5941405928833019E-10</v>
      </c>
      <c r="AC140" s="22">
        <f t="shared" si="111"/>
        <v>91.42272413658128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2.2737367544323206E-13</v>
      </c>
      <c r="AJ140" s="13">
        <f>AI140*VLOOKUP('Données projet'!$B$10,Paramètres!$A$1:$I$89,3,0)*VLOOKUP('Données projet'!$B$10,Paramètres!$A$1:$I$89,5,0)</f>
        <v>1.0049916454590858E-13</v>
      </c>
      <c r="AK140" s="13">
        <f t="shared" si="143"/>
        <v>1.5089081593838289E-12</v>
      </c>
      <c r="AL140" s="20">
        <f t="shared" si="112"/>
        <v>2.8030510891776262E-12</v>
      </c>
      <c r="AM140" s="59">
        <f t="shared" si="113"/>
        <v>293.3333333333361</v>
      </c>
      <c r="AN140" s="59">
        <f ca="1">AVERAGE(OFFSET($AM$3,0,0,'Données projet'!$E$10+1,1))-AVERAGE(OFFSET($H$3,0,0,'Données projet'!$E$10+1,1))</f>
        <v>343.36665824683809</v>
      </c>
      <c r="AO140" s="59">
        <f t="shared" si="144"/>
        <v>342.89042241858527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55.628781135269982</v>
      </c>
      <c r="AV140" s="21">
        <f>EXP(-LN(2)/25)*AV139+(1-EXP(-LN(2)/25))/(LN(2)/25)*Calculateur!AQ140*Calculateur!AS140*VLOOKUP('Données projet'!$B$10,Paramètres!$A$1:$I$89,3,0)*0.475*44/12</f>
        <v>11.901160979463764</v>
      </c>
      <c r="AW140" s="21">
        <f>EXP(-LN(2)/2)*AW139+(1-EXP(-LN(2)/2))/(LN(2)/2)*AQ140*AT140*VLOOKUP('Données projet'!$B$10,Paramètres!$A$1:$I$89,3,0)*0.475*44/12</f>
        <v>1.1639752934293745E-9</v>
      </c>
      <c r="AX140" s="21">
        <f t="shared" si="114"/>
        <v>67.529942115897711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-3.1036506698001178E-14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191.96190073146369</v>
      </c>
      <c r="BJ140" s="59">
        <f t="shared" si="146"/>
        <v>224.0560835232115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32.29256427921942</v>
      </c>
      <c r="BQ140" s="21">
        <f>EXP(-LN(2)/25)*BQ139+(1-EXP(-LN(2)/25))/(LN(2)/25)*Calculateur!BL140*Calculateur!BN140*VLOOKUP('Données projet'!$B$11,Paramètres!$A$1:$I$89,3,0)*0.475*44/12</f>
        <v>7.8418906634789511</v>
      </c>
      <c r="BR140" s="21">
        <f>EXP(-LN(2)/2)*BR139+(1-EXP(-LN(2)/2))/(LN(2)/2)*BL140*BO140*VLOOKUP('Données projet'!$B$11,Paramètres!$A$1:$I$89,3,0)*0.475*44/12</f>
        <v>6.0867321346137456E-10</v>
      </c>
      <c r="BS140" s="22">
        <f t="shared" si="117"/>
        <v>40.134454943307041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-4.5474735088646412E-13</v>
      </c>
      <c r="O141" s="13">
        <f>N141*VLOOKUP('Données projet'!$B$9,Paramètres!$A$1:$I$89,3,0)*VLOOKUP('Données projet'!$B$9,Paramètres!$A$1:$I$89,5,0)</f>
        <v>-2.5420376914553347E-13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410.71046306000068</v>
      </c>
      <c r="T141" s="59">
        <f t="shared" si="142"/>
        <v>430.43167430170087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80.939550996065876</v>
      </c>
      <c r="AA141" s="21">
        <f>EXP(-LN(2)/25)*AA140+(1-EXP(-LN(2)/25))/(LN(2)/25)*Calculateur!V141*Calculateur!X141*VLOOKUP('Données projet'!$B$9,Paramètres!$A$1:$I$89,3,0)*0.475*44/12</f>
        <v>8.6218584210041822</v>
      </c>
      <c r="AB141" s="21">
        <f>EXP(-LN(2)/2)*AB140+(1-EXP(-LN(2)/2))/(LN(2)/2)*V141*Y141*VLOOKUP('Données projet'!$B$9,Paramètres!$A$1:$I$89,3,0)*0.475*44/12</f>
        <v>4.6627615293252637E-10</v>
      </c>
      <c r="AC141" s="22">
        <f t="shared" si="111"/>
        <v>89.561409417536325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2.2737367544323206E-13</v>
      </c>
      <c r="AJ141" s="13">
        <f>AI141*VLOOKUP('Données projet'!$B$10,Paramètres!$A$1:$I$89,3,0)*VLOOKUP('Données projet'!$B$10,Paramètres!$A$1:$I$89,5,0)</f>
        <v>1.0049916454590858E-13</v>
      </c>
      <c r="AK141" s="13">
        <f t="shared" si="143"/>
        <v>1.5089081593838289E-12</v>
      </c>
      <c r="AL141" s="20">
        <f t="shared" si="112"/>
        <v>2.8030510891776262E-12</v>
      </c>
      <c r="AM141" s="59">
        <f t="shared" si="113"/>
        <v>293.3333333333361</v>
      </c>
      <c r="AN141" s="59">
        <f ca="1">AVERAGE(OFFSET($AM$3,0,0,'Données projet'!$E$10+1,1))-AVERAGE(OFFSET($H$3,0,0,'Données projet'!$E$10+1,1))</f>
        <v>343.36665824683809</v>
      </c>
      <c r="AO141" s="59">
        <f t="shared" si="144"/>
        <v>342.89042241858527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54.537934667413502</v>
      </c>
      <c r="AV141" s="21">
        <f>EXP(-LN(2)/25)*AV140+(1-EXP(-LN(2)/25))/(LN(2)/25)*Calculateur!AQ141*Calculateur!AS141*VLOOKUP('Données projet'!$B$10,Paramètres!$A$1:$I$89,3,0)*0.475*44/12</f>
        <v>11.575723106625473</v>
      </c>
      <c r="AW141" s="21">
        <f>EXP(-LN(2)/2)*AW140+(1-EXP(-LN(2)/2))/(LN(2)/2)*AQ141*AT141*VLOOKUP('Données projet'!$B$10,Paramètres!$A$1:$I$89,3,0)*0.475*44/12</f>
        <v>8.2305482311751214E-10</v>
      </c>
      <c r="AX141" s="21">
        <f t="shared" si="114"/>
        <v>66.11365777486202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-3.1036506698001178E-14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191.96190073146369</v>
      </c>
      <c r="BJ141" s="59">
        <f t="shared" si="146"/>
        <v>224.0560835232115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31.659326790223268</v>
      </c>
      <c r="BQ141" s="21">
        <f>EXP(-LN(2)/25)*BQ140+(1-EXP(-LN(2)/25))/(LN(2)/25)*Calculateur!BL141*Calculateur!BN141*VLOOKUP('Données projet'!$B$11,Paramètres!$A$1:$I$89,3,0)*0.475*44/12</f>
        <v>7.6274537508990123</v>
      </c>
      <c r="BR141" s="21">
        <f>EXP(-LN(2)/2)*BR140+(1-EXP(-LN(2)/2))/(LN(2)/2)*BL141*BO141*VLOOKUP('Données projet'!$B$11,Paramètres!$A$1:$I$89,3,0)*0.475*44/12</f>
        <v>4.3039695676514492E-10</v>
      </c>
      <c r="BS141" s="22">
        <f t="shared" si="117"/>
        <v>39.28678054155268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-4.5474735088646412E-13</v>
      </c>
      <c r="O142" s="13">
        <f>N142*VLOOKUP('Données projet'!$B$9,Paramètres!$A$1:$I$89,3,0)*VLOOKUP('Données projet'!$B$9,Paramètres!$A$1:$I$89,5,0)</f>
        <v>-2.5420376914553347E-13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410.71046306000068</v>
      </c>
      <c r="T142" s="59">
        <f t="shared" si="142"/>
        <v>430.43167430170087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79.352375769284421</v>
      </c>
      <c r="AA142" s="21">
        <f>EXP(-LN(2)/25)*AA141+(1-EXP(-LN(2)/25))/(LN(2)/25)*Calculateur!V142*Calculateur!X142*VLOOKUP('Données projet'!$B$9,Paramètres!$A$1:$I$89,3,0)*0.475*44/12</f>
        <v>8.3860932490779945</v>
      </c>
      <c r="AB142" s="21">
        <f>EXP(-LN(2)/2)*AB141+(1-EXP(-LN(2)/2))/(LN(2)/2)*V142*Y142*VLOOKUP('Données projet'!$B$9,Paramètres!$A$1:$I$89,3,0)*0.475*44/12</f>
        <v>3.2970702964416509E-10</v>
      </c>
      <c r="AC142" s="22">
        <f t="shared" si="111"/>
        <v>87.738469018692129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2.2737367544323206E-13</v>
      </c>
      <c r="AJ142" s="13">
        <f>AI142*VLOOKUP('Données projet'!$B$10,Paramètres!$A$1:$I$89,3,0)*VLOOKUP('Données projet'!$B$10,Paramètres!$A$1:$I$89,5,0)</f>
        <v>1.0049916454590858E-13</v>
      </c>
      <c r="AK142" s="13">
        <f t="shared" si="143"/>
        <v>1.5089081593838289E-12</v>
      </c>
      <c r="AL142" s="20">
        <f t="shared" si="112"/>
        <v>2.8030510891776262E-12</v>
      </c>
      <c r="AM142" s="59">
        <f t="shared" si="113"/>
        <v>293.3333333333361</v>
      </c>
      <c r="AN142" s="59">
        <f ca="1">AVERAGE(OFFSET($AM$3,0,0,'Données projet'!$E$10+1,1))-AVERAGE(OFFSET($H$3,0,0,'Données projet'!$E$10+1,1))</f>
        <v>343.36665824683809</v>
      </c>
      <c r="AO142" s="59">
        <f t="shared" si="144"/>
        <v>342.89042241858527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53.468479033441042</v>
      </c>
      <c r="AV142" s="21">
        <f>EXP(-LN(2)/25)*AV141+(1-EXP(-LN(2)/25))/(LN(2)/25)*Calculateur!AQ142*Calculateur!AS142*VLOOKUP('Données projet'!$B$10,Paramètres!$A$1:$I$89,3,0)*0.475*44/12</f>
        <v>11.259184349533978</v>
      </c>
      <c r="AW142" s="21">
        <f>EXP(-LN(2)/2)*AW141+(1-EXP(-LN(2)/2))/(LN(2)/2)*AQ142*AT142*VLOOKUP('Données projet'!$B$10,Paramètres!$A$1:$I$89,3,0)*0.475*44/12</f>
        <v>5.8198764671468723E-10</v>
      </c>
      <c r="AX142" s="21">
        <f t="shared" si="114"/>
        <v>64.727663383557015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-3.1036506698001178E-14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191.96190073146369</v>
      </c>
      <c r="BJ142" s="59">
        <f t="shared" si="146"/>
        <v>224.0560835232115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31.038506702149601</v>
      </c>
      <c r="BQ142" s="21">
        <f>EXP(-LN(2)/25)*BQ141+(1-EXP(-LN(2)/25))/(LN(2)/25)*Calculateur!BL142*Calculateur!BN142*VLOOKUP('Données projet'!$B$11,Paramètres!$A$1:$I$89,3,0)*0.475*44/12</f>
        <v>7.4188806269703189</v>
      </c>
      <c r="BR142" s="21">
        <f>EXP(-LN(2)/2)*BR141+(1-EXP(-LN(2)/2))/(LN(2)/2)*BL142*BO142*VLOOKUP('Données projet'!$B$11,Paramètres!$A$1:$I$89,3,0)*0.475*44/12</f>
        <v>3.0433660673068728E-10</v>
      </c>
      <c r="BS142" s="22">
        <f t="shared" si="117"/>
        <v>38.457387329424257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-4.5474735088646412E-13</v>
      </c>
      <c r="O143" s="13">
        <f>N143*VLOOKUP('Données projet'!$B$9,Paramètres!$A$1:$I$89,3,0)*VLOOKUP('Données projet'!$B$9,Paramètres!$A$1:$I$89,5,0)</f>
        <v>-2.5420376914553347E-13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410.71046306000068</v>
      </c>
      <c r="T143" s="59">
        <f t="shared" si="142"/>
        <v>430.43167430170087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77.796324080618859</v>
      </c>
      <c r="AA143" s="21">
        <f>EXP(-LN(2)/25)*AA142+(1-EXP(-LN(2)/25))/(LN(2)/25)*Calculateur!V143*Calculateur!X143*VLOOKUP('Données projet'!$B$9,Paramètres!$A$1:$I$89,3,0)*0.475*44/12</f>
        <v>8.1567750881764791</v>
      </c>
      <c r="AB143" s="21">
        <f>EXP(-LN(2)/2)*AB142+(1-EXP(-LN(2)/2))/(LN(2)/2)*V143*Y143*VLOOKUP('Données projet'!$B$9,Paramètres!$A$1:$I$89,3,0)*0.475*44/12</f>
        <v>2.3313807646626319E-10</v>
      </c>
      <c r="AC143" s="22">
        <f t="shared" si="111"/>
        <v>85.953099169028476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2.2737367544323206E-13</v>
      </c>
      <c r="AJ143" s="13">
        <f>AI143*VLOOKUP('Données projet'!$B$10,Paramètres!$A$1:$I$89,3,0)*VLOOKUP('Données projet'!$B$10,Paramètres!$A$1:$I$89,5,0)</f>
        <v>1.0049916454590858E-13</v>
      </c>
      <c r="AK143" s="13">
        <f t="shared" si="143"/>
        <v>1.5089081593838289E-12</v>
      </c>
      <c r="AL143" s="20">
        <f t="shared" si="112"/>
        <v>2.8030510891776262E-12</v>
      </c>
      <c r="AM143" s="59">
        <f t="shared" si="113"/>
        <v>293.3333333333361</v>
      </c>
      <c r="AN143" s="59">
        <f ca="1">AVERAGE(OFFSET($AM$3,0,0,'Données projet'!$E$10+1,1))-AVERAGE(OFFSET($H$3,0,0,'Données projet'!$E$10+1,1))</f>
        <v>343.36665824683809</v>
      </c>
      <c r="AO143" s="59">
        <f t="shared" si="144"/>
        <v>342.89042241858527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52.419994772147248</v>
      </c>
      <c r="AV143" s="21">
        <f>EXP(-LN(2)/25)*AV142+(1-EXP(-LN(2)/25))/(LN(2)/25)*Calculateur!AQ143*Calculateur!AS143*VLOOKUP('Données projet'!$B$10,Paramètres!$A$1:$I$89,3,0)*0.475*44/12</f>
        <v>10.9513013614012</v>
      </c>
      <c r="AW143" s="21">
        <f>EXP(-LN(2)/2)*AW142+(1-EXP(-LN(2)/2))/(LN(2)/2)*AQ143*AT143*VLOOKUP('Données projet'!$B$10,Paramètres!$A$1:$I$89,3,0)*0.475*44/12</f>
        <v>4.1152741155875607E-10</v>
      </c>
      <c r="AX143" s="21">
        <f t="shared" si="114"/>
        <v>63.371296133959973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-3.1036506698001178E-14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191.96190073146369</v>
      </c>
      <c r="BJ143" s="59">
        <f t="shared" si="146"/>
        <v>224.0560835232115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30.429860517340192</v>
      </c>
      <c r="BQ143" s="21">
        <f>EXP(-LN(2)/25)*BQ142+(1-EXP(-LN(2)/25))/(LN(2)/25)*Calculateur!BL143*Calculateur!BN143*VLOOKUP('Données projet'!$B$11,Paramètres!$A$1:$I$89,3,0)*0.475*44/12</f>
        <v>7.2160109460838395</v>
      </c>
      <c r="BR143" s="21">
        <f>EXP(-LN(2)/2)*BR142+(1-EXP(-LN(2)/2))/(LN(2)/2)*BL143*BO143*VLOOKUP('Données projet'!$B$11,Paramètres!$A$1:$I$89,3,0)*0.475*44/12</f>
        <v>2.1519847838257246E-10</v>
      </c>
      <c r="BS143" s="22">
        <f t="shared" si="117"/>
        <v>37.645871463639224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-4.5474735088646412E-13</v>
      </c>
      <c r="O144" s="13">
        <f>N144*VLOOKUP('Données projet'!$B$9,Paramètres!$A$1:$I$89,3,0)*VLOOKUP('Données projet'!$B$9,Paramètres!$A$1:$I$89,5,0)</f>
        <v>-2.5420376914553347E-13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410.71046306000068</v>
      </c>
      <c r="T144" s="59">
        <f t="shared" si="142"/>
        <v>430.43167430170087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76.270785616470206</v>
      </c>
      <c r="AA144" s="21">
        <f>EXP(-LN(2)/25)*AA143+(1-EXP(-LN(2)/25))/(LN(2)/25)*Calculateur!V144*Calculateur!X144*VLOOKUP('Données projet'!$B$9,Paramètres!$A$1:$I$89,3,0)*0.475*44/12</f>
        <v>7.9337276444441338</v>
      </c>
      <c r="AB144" s="21">
        <f>EXP(-LN(2)/2)*AB143+(1-EXP(-LN(2)/2))/(LN(2)/2)*V144*Y144*VLOOKUP('Données projet'!$B$9,Paramètres!$A$1:$I$89,3,0)*0.475*44/12</f>
        <v>1.6485351482208255E-10</v>
      </c>
      <c r="AC144" s="22">
        <f t="shared" si="111"/>
        <v>84.2045132610792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2.2737367544323206E-13</v>
      </c>
      <c r="AJ144" s="13">
        <f>AI144*VLOOKUP('Données projet'!$B$10,Paramètres!$A$1:$I$89,3,0)*VLOOKUP('Données projet'!$B$10,Paramètres!$A$1:$I$89,5,0)</f>
        <v>1.0049916454590858E-13</v>
      </c>
      <c r="AK144" s="13">
        <f t="shared" si="143"/>
        <v>1.5089081593838289E-12</v>
      </c>
      <c r="AL144" s="20">
        <f t="shared" si="112"/>
        <v>2.8030510891776262E-12</v>
      </c>
      <c r="AM144" s="59">
        <f t="shared" si="113"/>
        <v>293.3333333333361</v>
      </c>
      <c r="AN144" s="59">
        <f ca="1">AVERAGE(OFFSET($AM$3,0,0,'Données projet'!$E$10+1,1))-AVERAGE(OFFSET($H$3,0,0,'Données projet'!$E$10+1,1))</f>
        <v>343.36665824683809</v>
      </c>
      <c r="AO144" s="59">
        <f t="shared" si="144"/>
        <v>342.89042241858527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51.392070647705175</v>
      </c>
      <c r="AV144" s="21">
        <f>EXP(-LN(2)/25)*AV143+(1-EXP(-LN(2)/25))/(LN(2)/25)*Calculateur!AQ144*Calculateur!AS144*VLOOKUP('Données projet'!$B$10,Paramètres!$A$1:$I$89,3,0)*0.475*44/12</f>
        <v>10.651837449769774</v>
      </c>
      <c r="AW144" s="21">
        <f>EXP(-LN(2)/2)*AW143+(1-EXP(-LN(2)/2))/(LN(2)/2)*AQ144*AT144*VLOOKUP('Données projet'!$B$10,Paramètres!$A$1:$I$89,3,0)*0.475*44/12</f>
        <v>2.9099382335734361E-10</v>
      </c>
      <c r="AX144" s="21">
        <f t="shared" si="114"/>
        <v>62.043908097765943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-3.1036506698001178E-14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191.96190073146369</v>
      </c>
      <c r="BJ144" s="59">
        <f t="shared" si="146"/>
        <v>224.0560835232115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29.833149512977382</v>
      </c>
      <c r="BQ144" s="21">
        <f>EXP(-LN(2)/25)*BQ143+(1-EXP(-LN(2)/25))/(LN(2)/25)*Calculateur!BL144*Calculateur!BN144*VLOOKUP('Données projet'!$B$11,Paramètres!$A$1:$I$89,3,0)*0.475*44/12</f>
        <v>7.0186887472896533</v>
      </c>
      <c r="BR144" s="21">
        <f>EXP(-LN(2)/2)*BR143+(1-EXP(-LN(2)/2))/(LN(2)/2)*BL144*BO144*VLOOKUP('Données projet'!$B$11,Paramètres!$A$1:$I$89,3,0)*0.475*44/12</f>
        <v>1.5216830336534364E-10</v>
      </c>
      <c r="BS144" s="22">
        <f t="shared" si="117"/>
        <v>36.851838260419207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-4.5474735088646412E-13</v>
      </c>
      <c r="O145" s="13">
        <f>N145*VLOOKUP('Données projet'!$B$9,Paramètres!$A$1:$I$89,3,0)*VLOOKUP('Données projet'!$B$9,Paramètres!$A$1:$I$89,5,0)</f>
        <v>-2.5420376914553347E-13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410.71046306000068</v>
      </c>
      <c r="T145" s="59">
        <f t="shared" si="142"/>
        <v>430.43167430170087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74.775162031116921</v>
      </c>
      <c r="AA145" s="21">
        <f>EXP(-LN(2)/25)*AA144+(1-EXP(-LN(2)/25))/(LN(2)/25)*Calculateur!V145*Calculateur!X145*VLOOKUP('Données projet'!$B$9,Paramètres!$A$1:$I$89,3,0)*0.475*44/12</f>
        <v>7.7167794447902045</v>
      </c>
      <c r="AB145" s="21">
        <f>EXP(-LN(2)/2)*AB144+(1-EXP(-LN(2)/2))/(LN(2)/2)*V145*Y145*VLOOKUP('Données projet'!$B$9,Paramètres!$A$1:$I$89,3,0)*0.475*44/12</f>
        <v>1.1656903823313159E-10</v>
      </c>
      <c r="AC145" s="22">
        <f t="shared" si="111"/>
        <v>82.491941476023698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2.2737367544323206E-13</v>
      </c>
      <c r="AJ145" s="13">
        <f>AI145*VLOOKUP('Données projet'!$B$10,Paramètres!$A$1:$I$89,3,0)*VLOOKUP('Données projet'!$B$10,Paramètres!$A$1:$I$89,5,0)</f>
        <v>1.0049916454590858E-13</v>
      </c>
      <c r="AK145" s="13">
        <f t="shared" si="143"/>
        <v>1.5089081593838289E-12</v>
      </c>
      <c r="AL145" s="20">
        <f t="shared" si="112"/>
        <v>2.8030510891776262E-12</v>
      </c>
      <c r="AM145" s="59">
        <f t="shared" si="113"/>
        <v>293.3333333333361</v>
      </c>
      <c r="AN145" s="59">
        <f ca="1">AVERAGE(OFFSET($AM$3,0,0,'Données projet'!$E$10+1,1))-AVERAGE(OFFSET($H$3,0,0,'Données projet'!$E$10+1,1))</f>
        <v>343.36665824683809</v>
      </c>
      <c r="AO145" s="59">
        <f t="shared" si="144"/>
        <v>342.89042241858527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50.384303488371607</v>
      </c>
      <c r="AV145" s="21">
        <f>EXP(-LN(2)/25)*AV144+(1-EXP(-LN(2)/25))/(LN(2)/25)*Calculateur!AQ145*Calculateur!AS145*VLOOKUP('Données projet'!$B$10,Paramètres!$A$1:$I$89,3,0)*0.475*44/12</f>
        <v>10.360562394550033</v>
      </c>
      <c r="AW145" s="21">
        <f>EXP(-LN(2)/2)*AW144+(1-EXP(-LN(2)/2))/(LN(2)/2)*AQ145*AT145*VLOOKUP('Données projet'!$B$10,Paramètres!$A$1:$I$89,3,0)*0.475*44/12</f>
        <v>2.0576370577937803E-10</v>
      </c>
      <c r="AX145" s="21">
        <f t="shared" si="114"/>
        <v>60.74486588312741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-3.1036506698001178E-14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191.96190073146369</v>
      </c>
      <c r="BJ145" s="59">
        <f t="shared" si="146"/>
        <v>224.0560835232115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29.248139647452351</v>
      </c>
      <c r="BQ145" s="21">
        <f>EXP(-LN(2)/25)*BQ144+(1-EXP(-LN(2)/25))/(LN(2)/25)*Calculateur!BL145*Calculateur!BN145*VLOOKUP('Données projet'!$B$11,Paramètres!$A$1:$I$89,3,0)*0.475*44/12</f>
        <v>6.826762334398218</v>
      </c>
      <c r="BR145" s="21">
        <f>EXP(-LN(2)/2)*BR144+(1-EXP(-LN(2)/2))/(LN(2)/2)*BL145*BO145*VLOOKUP('Données projet'!$B$11,Paramètres!$A$1:$I$89,3,0)*0.475*44/12</f>
        <v>1.0759923919128623E-10</v>
      </c>
      <c r="BS145" s="22">
        <f t="shared" si="117"/>
        <v>36.07490198195817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-4.5474735088646412E-13</v>
      </c>
      <c r="O146" s="13">
        <f>N146*VLOOKUP('Données projet'!$B$9,Paramètres!$A$1:$I$89,3,0)*VLOOKUP('Données projet'!$B$9,Paramètres!$A$1:$I$89,5,0)</f>
        <v>-2.5420376914553347E-13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410.71046306000068</v>
      </c>
      <c r="T146" s="59">
        <f t="shared" si="142"/>
        <v>430.43167430170087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73.308866712032113</v>
      </c>
      <c r="AA146" s="21">
        <f>EXP(-LN(2)/25)*AA145+(1-EXP(-LN(2)/25))/(LN(2)/25)*Calculateur!V146*Calculateur!X146*VLOOKUP('Données projet'!$B$9,Paramètres!$A$1:$I$89,3,0)*0.475*44/12</f>
        <v>7.5057637050646226</v>
      </c>
      <c r="AB146" s="21">
        <f>EXP(-LN(2)/2)*AB145+(1-EXP(-LN(2)/2))/(LN(2)/2)*V146*Y146*VLOOKUP('Données projet'!$B$9,Paramètres!$A$1:$I$89,3,0)*0.475*44/12</f>
        <v>8.2426757411041274E-11</v>
      </c>
      <c r="AC146" s="22">
        <f t="shared" si="111"/>
        <v>80.81463041717916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2.2737367544323206E-13</v>
      </c>
      <c r="AJ146" s="13">
        <f>AI146*VLOOKUP('Données projet'!$B$10,Paramètres!$A$1:$I$89,3,0)*VLOOKUP('Données projet'!$B$10,Paramètres!$A$1:$I$89,5,0)</f>
        <v>1.0049916454590858E-13</v>
      </c>
      <c r="AK146" s="13">
        <f t="shared" si="143"/>
        <v>1.5089081593838289E-12</v>
      </c>
      <c r="AL146" s="20">
        <f t="shared" si="112"/>
        <v>2.8030510891776262E-12</v>
      </c>
      <c r="AM146" s="59">
        <f t="shared" si="113"/>
        <v>293.3333333333361</v>
      </c>
      <c r="AN146" s="59">
        <f ca="1">AVERAGE(OFFSET($AM$3,0,0,'Données projet'!$E$10+1,1))-AVERAGE(OFFSET($H$3,0,0,'Données projet'!$E$10+1,1))</f>
        <v>343.36665824683809</v>
      </c>
      <c r="AO146" s="59">
        <f t="shared" si="144"/>
        <v>342.89042241858527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49.396298028355297</v>
      </c>
      <c r="AV146" s="21">
        <f>EXP(-LN(2)/25)*AV145+(1-EXP(-LN(2)/25))/(LN(2)/25)*Calculateur!AQ146*Calculateur!AS146*VLOOKUP('Données projet'!$B$10,Paramètres!$A$1:$I$89,3,0)*0.475*44/12</f>
        <v>10.077252271032766</v>
      </c>
      <c r="AW146" s="21">
        <f>EXP(-LN(2)/2)*AW145+(1-EXP(-LN(2)/2))/(LN(2)/2)*AQ146*AT146*VLOOKUP('Données projet'!$B$10,Paramètres!$A$1:$I$89,3,0)*0.475*44/12</f>
        <v>1.4549691167867181E-10</v>
      </c>
      <c r="AX146" s="21">
        <f t="shared" si="114"/>
        <v>59.473550299533564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-3.1036506698001178E-14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191.96190073146369</v>
      </c>
      <c r="BJ146" s="59">
        <f t="shared" si="146"/>
        <v>224.0560835232115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28.674601468569481</v>
      </c>
      <c r="BQ146" s="21">
        <f>EXP(-LN(2)/25)*BQ145+(1-EXP(-LN(2)/25))/(LN(2)/25)*Calculateur!BL146*Calculateur!BN146*VLOOKUP('Données projet'!$B$11,Paramètres!$A$1:$I$89,3,0)*0.475*44/12</f>
        <v>6.6400841593602706</v>
      </c>
      <c r="BR146" s="21">
        <f>EXP(-LN(2)/2)*BR145+(1-EXP(-LN(2)/2))/(LN(2)/2)*BL146*BO146*VLOOKUP('Données projet'!$B$11,Paramètres!$A$1:$I$89,3,0)*0.475*44/12</f>
        <v>7.608415168267182E-11</v>
      </c>
      <c r="BS146" s="22">
        <f t="shared" si="117"/>
        <v>35.314685628005833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-4.5474735088646412E-13</v>
      </c>
      <c r="O147" s="13">
        <f>N147*VLOOKUP('Données projet'!$B$9,Paramètres!$A$1:$I$89,3,0)*VLOOKUP('Données projet'!$B$9,Paramètres!$A$1:$I$89,5,0)</f>
        <v>-2.5420376914553347E-13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410.71046306000068</v>
      </c>
      <c r="T147" s="59">
        <f t="shared" si="142"/>
        <v>430.43167430170087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71.871324549802722</v>
      </c>
      <c r="AA147" s="21">
        <f>EXP(-LN(2)/25)*AA146+(1-EXP(-LN(2)/25))/(LN(2)/25)*Calculateur!V147*Calculateur!X147*VLOOKUP('Données projet'!$B$9,Paramètres!$A$1:$I$89,3,0)*0.475*44/12</f>
        <v>7.3005182018386723</v>
      </c>
      <c r="AB147" s="21">
        <f>EXP(-LN(2)/2)*AB146+(1-EXP(-LN(2)/2))/(LN(2)/2)*V147*Y147*VLOOKUP('Données projet'!$B$9,Paramètres!$A$1:$I$89,3,0)*0.475*44/12</f>
        <v>5.8284519116565797E-11</v>
      </c>
      <c r="AC147" s="22">
        <f t="shared" si="111"/>
        <v>79.171842751699671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2.2737367544323206E-13</v>
      </c>
      <c r="AJ147" s="13">
        <f>AI147*VLOOKUP('Données projet'!$B$10,Paramètres!$A$1:$I$89,3,0)*VLOOKUP('Données projet'!$B$10,Paramètres!$A$1:$I$89,5,0)</f>
        <v>1.0049916454590858E-13</v>
      </c>
      <c r="AK147" s="13">
        <f t="shared" si="143"/>
        <v>1.5089081593838289E-12</v>
      </c>
      <c r="AL147" s="20">
        <f t="shared" si="112"/>
        <v>2.8030510891776262E-12</v>
      </c>
      <c r="AM147" s="59">
        <f t="shared" si="113"/>
        <v>293.3333333333361</v>
      </c>
      <c r="AN147" s="59">
        <f ca="1">AVERAGE(OFFSET($AM$3,0,0,'Données projet'!$E$10+1,1))-AVERAGE(OFFSET($H$3,0,0,'Données projet'!$E$10+1,1))</f>
        <v>343.36665824683809</v>
      </c>
      <c r="AO147" s="59">
        <f t="shared" si="144"/>
        <v>342.89042241858527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48.427666752786081</v>
      </c>
      <c r="AV147" s="21">
        <f>EXP(-LN(2)/25)*AV146+(1-EXP(-LN(2)/25))/(LN(2)/25)*Calculateur!AQ147*Calculateur!AS147*VLOOKUP('Données projet'!$B$10,Paramètres!$A$1:$I$89,3,0)*0.475*44/12</f>
        <v>9.8016892777417102</v>
      </c>
      <c r="AW147" s="21">
        <f>EXP(-LN(2)/2)*AW146+(1-EXP(-LN(2)/2))/(LN(2)/2)*AQ147*AT147*VLOOKUP('Données projet'!$B$10,Paramètres!$A$1:$I$89,3,0)*0.475*44/12</f>
        <v>1.0288185288968902E-10</v>
      </c>
      <c r="AX147" s="21">
        <f t="shared" si="114"/>
        <v>58.229356030630669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-3.1036506698001178E-14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191.96190073146369</v>
      </c>
      <c r="BJ147" s="59">
        <f t="shared" si="146"/>
        <v>224.0560835232115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28.112310023550759</v>
      </c>
      <c r="BQ147" s="21">
        <f>EXP(-LN(2)/25)*BQ146+(1-EXP(-LN(2)/25))/(LN(2)/25)*Calculateur!BL147*Calculateur!BN147*VLOOKUP('Données projet'!$B$11,Paramètres!$A$1:$I$89,3,0)*0.475*44/12</f>
        <v>6.4585107088357141</v>
      </c>
      <c r="BR147" s="21">
        <f>EXP(-LN(2)/2)*BR146+(1-EXP(-LN(2)/2))/(LN(2)/2)*BL147*BO147*VLOOKUP('Données projet'!$B$11,Paramètres!$A$1:$I$89,3,0)*0.475*44/12</f>
        <v>5.3799619595643115E-11</v>
      </c>
      <c r="BS147" s="22">
        <f t="shared" si="117"/>
        <v>34.570820732440275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-4.5474735088646412E-13</v>
      </c>
      <c r="O148" s="13">
        <f>N148*VLOOKUP('Données projet'!$B$9,Paramètres!$A$1:$I$89,3,0)*VLOOKUP('Données projet'!$B$9,Paramètres!$A$1:$I$89,5,0)</f>
        <v>-2.5420376914553347E-13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410.71046306000068</v>
      </c>
      <c r="T148" s="59">
        <f t="shared" si="142"/>
        <v>430.43167430170087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70.461971712560498</v>
      </c>
      <c r="AA148" s="21">
        <f>EXP(-LN(2)/25)*AA147+(1-EXP(-LN(2)/25))/(LN(2)/25)*Calculateur!V148*Calculateur!X148*VLOOKUP('Données projet'!$B$9,Paramètres!$A$1:$I$89,3,0)*0.475*44/12</f>
        <v>7.1008851476918275</v>
      </c>
      <c r="AB148" s="21">
        <f>EXP(-LN(2)/2)*AB147+(1-EXP(-LN(2)/2))/(LN(2)/2)*V148*Y148*VLOOKUP('Données projet'!$B$9,Paramètres!$A$1:$I$89,3,0)*0.475*44/12</f>
        <v>4.1213378705520637E-11</v>
      </c>
      <c r="AC148" s="22">
        <f t="shared" si="111"/>
        <v>77.562856860293536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2.2737367544323206E-13</v>
      </c>
      <c r="AJ148" s="13">
        <f>AI148*VLOOKUP('Données projet'!$B$10,Paramètres!$A$1:$I$89,3,0)*VLOOKUP('Données projet'!$B$10,Paramètres!$A$1:$I$89,5,0)</f>
        <v>1.0049916454590858E-13</v>
      </c>
      <c r="AK148" s="13">
        <f t="shared" si="143"/>
        <v>1.5089081593838289E-12</v>
      </c>
      <c r="AL148" s="20">
        <f t="shared" si="112"/>
        <v>2.8030510891776262E-12</v>
      </c>
      <c r="AM148" s="59">
        <f t="shared" si="113"/>
        <v>293.3333333333361</v>
      </c>
      <c r="AN148" s="59">
        <f ca="1">AVERAGE(OFFSET($AM$3,0,0,'Données projet'!$E$10+1,1))-AVERAGE(OFFSET($H$3,0,0,'Données projet'!$E$10+1,1))</f>
        <v>343.36665824683809</v>
      </c>
      <c r="AO148" s="59">
        <f t="shared" si="144"/>
        <v>342.89042241858527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47.478029745724037</v>
      </c>
      <c r="AV148" s="21">
        <f>EXP(-LN(2)/25)*AV147+(1-EXP(-LN(2)/25))/(LN(2)/25)*Calculateur!AQ148*Calculateur!AS148*VLOOKUP('Données projet'!$B$10,Paramètres!$A$1:$I$89,3,0)*0.475*44/12</f>
        <v>9.5336615689934252</v>
      </c>
      <c r="AW148" s="21">
        <f>EXP(-LN(2)/2)*AW147+(1-EXP(-LN(2)/2))/(LN(2)/2)*AQ148*AT148*VLOOKUP('Données projet'!$B$10,Paramètres!$A$1:$I$89,3,0)*0.475*44/12</f>
        <v>7.2748455839335903E-11</v>
      </c>
      <c r="AX148" s="21">
        <f t="shared" si="114"/>
        <v>57.011691314790205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-3.1036506698001178E-14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191.96190073146369</v>
      </c>
      <c r="BJ148" s="59">
        <f t="shared" si="146"/>
        <v>224.0560835232115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27.561044770804934</v>
      </c>
      <c r="BQ148" s="21">
        <f>EXP(-LN(2)/25)*BQ147+(1-EXP(-LN(2)/25))/(LN(2)/25)*Calculateur!BL148*Calculateur!BN148*VLOOKUP('Données projet'!$B$11,Paramètres!$A$1:$I$89,3,0)*0.475*44/12</f>
        <v>6.2819023938642848</v>
      </c>
      <c r="BR148" s="21">
        <f>EXP(-LN(2)/2)*BR147+(1-EXP(-LN(2)/2))/(LN(2)/2)*BL148*BO148*VLOOKUP('Données projet'!$B$11,Paramètres!$A$1:$I$89,3,0)*0.475*44/12</f>
        <v>3.804207584133591E-11</v>
      </c>
      <c r="BS148" s="22">
        <f t="shared" si="117"/>
        <v>33.842947164707262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-4.5474735088646412E-13</v>
      </c>
      <c r="O149" s="13">
        <f>N149*VLOOKUP('Données projet'!$B$9,Paramètres!$A$1:$I$89,3,0)*VLOOKUP('Données projet'!$B$9,Paramètres!$A$1:$I$89,5,0)</f>
        <v>-2.5420376914553347E-13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410.71046306000068</v>
      </c>
      <c r="T149" s="59">
        <f t="shared" si="142"/>
        <v>430.43167430170087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69.080255424836253</v>
      </c>
      <c r="AA149" s="21">
        <f>EXP(-LN(2)/25)*AA148+(1-EXP(-LN(2)/25))/(LN(2)/25)*Calculateur!V149*Calculateur!X149*VLOOKUP('Données projet'!$B$9,Paramètres!$A$1:$I$89,3,0)*0.475*44/12</f>
        <v>6.9067110699088738</v>
      </c>
      <c r="AB149" s="21">
        <f>EXP(-LN(2)/2)*AB148+(1-EXP(-LN(2)/2))/(LN(2)/2)*V149*Y149*VLOOKUP('Données projet'!$B$9,Paramètres!$A$1:$I$89,3,0)*0.475*44/12</f>
        <v>2.9142259558282898E-11</v>
      </c>
      <c r="AC149" s="22">
        <f t="shared" si="111"/>
        <v>75.986966494774279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2.2737367544323206E-13</v>
      </c>
      <c r="AJ149" s="13">
        <f>AI149*VLOOKUP('Données projet'!$B$10,Paramètres!$A$1:$I$89,3,0)*VLOOKUP('Données projet'!$B$10,Paramètres!$A$1:$I$89,5,0)</f>
        <v>1.0049916454590858E-13</v>
      </c>
      <c r="AK149" s="13">
        <f t="shared" si="143"/>
        <v>1.5089081593838289E-12</v>
      </c>
      <c r="AL149" s="20">
        <f t="shared" si="112"/>
        <v>2.8030510891776262E-12</v>
      </c>
      <c r="AM149" s="59">
        <f t="shared" si="113"/>
        <v>293.3333333333361</v>
      </c>
      <c r="AN149" s="59">
        <f ca="1">AVERAGE(OFFSET($AM$3,0,0,'Données projet'!$E$10+1,1))-AVERAGE(OFFSET($H$3,0,0,'Données projet'!$E$10+1,1))</f>
        <v>343.36665824683809</v>
      </c>
      <c r="AO149" s="59">
        <f t="shared" si="144"/>
        <v>342.89042241858527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46.547014541149096</v>
      </c>
      <c r="AV149" s="21">
        <f>EXP(-LN(2)/25)*AV148+(1-EXP(-LN(2)/25))/(LN(2)/25)*Calculateur!AQ149*Calculateur!AS149*VLOOKUP('Données projet'!$B$10,Paramètres!$A$1:$I$89,3,0)*0.475*44/12</f>
        <v>9.2729630920358268</v>
      </c>
      <c r="AW149" s="21">
        <f>EXP(-LN(2)/2)*AW148+(1-EXP(-LN(2)/2))/(LN(2)/2)*AQ149*AT149*VLOOKUP('Données projet'!$B$10,Paramètres!$A$1:$I$89,3,0)*0.475*44/12</f>
        <v>5.1440926444844509E-11</v>
      </c>
      <c r="AX149" s="21">
        <f t="shared" si="114"/>
        <v>55.819977633236363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-3.1036506698001178E-14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191.96190073146369</v>
      </c>
      <c r="BJ149" s="59">
        <f t="shared" si="146"/>
        <v>224.0560835232115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27.020589493426851</v>
      </c>
      <c r="BQ149" s="21">
        <f>EXP(-LN(2)/25)*BQ148+(1-EXP(-LN(2)/25))/(LN(2)/25)*Calculateur!BL149*Calculateur!BN149*VLOOKUP('Données projet'!$B$11,Paramètres!$A$1:$I$89,3,0)*0.475*44/12</f>
        <v>6.110123442553177</v>
      </c>
      <c r="BR149" s="21">
        <f>EXP(-LN(2)/2)*BR148+(1-EXP(-LN(2)/2))/(LN(2)/2)*BL149*BO149*VLOOKUP('Données projet'!$B$11,Paramètres!$A$1:$I$89,3,0)*0.475*44/12</f>
        <v>2.6899809797821557E-11</v>
      </c>
      <c r="BS149" s="22">
        <f t="shared" si="117"/>
        <v>33.13071293600693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-4.5474735088646412E-13</v>
      </c>
      <c r="O150" s="13">
        <f>N150*VLOOKUP('Données projet'!$B$9,Paramètres!$A$1:$I$89,3,0)*VLOOKUP('Données projet'!$B$9,Paramètres!$A$1:$I$89,5,0)</f>
        <v>-2.5420376914553347E-13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410.71046306000068</v>
      </c>
      <c r="T150" s="59">
        <f t="shared" si="142"/>
        <v>430.43167430170087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67.725633750750561</v>
      </c>
      <c r="AA150" s="21">
        <f>EXP(-LN(2)/25)*AA149+(1-EXP(-LN(2)/25))/(LN(2)/25)*Calculateur!V150*Calculateur!X150*VLOOKUP('Données projet'!$B$9,Paramètres!$A$1:$I$89,3,0)*0.475*44/12</f>
        <v>6.7178466924940663</v>
      </c>
      <c r="AB150" s="21">
        <f>EXP(-LN(2)/2)*AB149+(1-EXP(-LN(2)/2))/(LN(2)/2)*V150*Y150*VLOOKUP('Données projet'!$B$9,Paramètres!$A$1:$I$89,3,0)*0.475*44/12</f>
        <v>2.0606689352760318E-11</v>
      </c>
      <c r="AC150" s="22">
        <f t="shared" si="111"/>
        <v>74.44348044326523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2.2737367544323206E-13</v>
      </c>
      <c r="AJ150" s="13">
        <f>AI150*VLOOKUP('Données projet'!$B$10,Paramètres!$A$1:$I$89,3,0)*VLOOKUP('Données projet'!$B$10,Paramètres!$A$1:$I$89,5,0)</f>
        <v>1.0049916454590858E-13</v>
      </c>
      <c r="AK150" s="13">
        <f t="shared" si="143"/>
        <v>1.5089081593838289E-12</v>
      </c>
      <c r="AL150" s="20">
        <f t="shared" si="112"/>
        <v>2.8030510891776262E-12</v>
      </c>
      <c r="AM150" s="59">
        <f t="shared" si="113"/>
        <v>293.3333333333361</v>
      </c>
      <c r="AN150" s="59">
        <f ca="1">AVERAGE(OFFSET($AM$3,0,0,'Données projet'!$E$10+1,1))-AVERAGE(OFFSET($H$3,0,0,'Données projet'!$E$10+1,1))</f>
        <v>343.36665824683809</v>
      </c>
      <c r="AO150" s="59">
        <f t="shared" si="144"/>
        <v>342.89042241858527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45.634255976872666</v>
      </c>
      <c r="AV150" s="21">
        <f>EXP(-LN(2)/25)*AV149+(1-EXP(-LN(2)/25))/(LN(2)/25)*Calculateur!AQ150*Calculateur!AS150*VLOOKUP('Données projet'!$B$10,Paramètres!$A$1:$I$89,3,0)*0.475*44/12</f>
        <v>9.0193934286401714</v>
      </c>
      <c r="AW150" s="21">
        <f>EXP(-LN(2)/2)*AW149+(1-EXP(-LN(2)/2))/(LN(2)/2)*AQ150*AT150*VLOOKUP('Données projet'!$B$10,Paramètres!$A$1:$I$89,3,0)*0.475*44/12</f>
        <v>3.6374227919667952E-11</v>
      </c>
      <c r="AX150" s="21">
        <f t="shared" si="114"/>
        <v>54.65364940554921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-3.1036506698001178E-14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191.96190073146369</v>
      </c>
      <c r="BJ150" s="59">
        <f t="shared" si="146"/>
        <v>224.0560835232115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26.490732214392985</v>
      </c>
      <c r="BQ150" s="21">
        <f>EXP(-LN(2)/25)*BQ149+(1-EXP(-LN(2)/25))/(LN(2)/25)*Calculateur!BL150*Calculateur!BN150*VLOOKUP('Données projet'!$B$11,Paramètres!$A$1:$I$89,3,0)*0.475*44/12</f>
        <v>5.9430417956991333</v>
      </c>
      <c r="BR150" s="21">
        <f>EXP(-LN(2)/2)*BR149+(1-EXP(-LN(2)/2))/(LN(2)/2)*BL150*BO150*VLOOKUP('Données projet'!$B$11,Paramètres!$A$1:$I$89,3,0)*0.475*44/12</f>
        <v>1.9021037920667955E-11</v>
      </c>
      <c r="BS150" s="22">
        <f t="shared" si="117"/>
        <v>32.433774010111136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-4.5474735088646412E-13</v>
      </c>
      <c r="O151" s="13">
        <f>N151*VLOOKUP('Données projet'!$B$9,Paramètres!$A$1:$I$89,3,0)*VLOOKUP('Données projet'!$B$9,Paramètres!$A$1:$I$89,5,0)</f>
        <v>-2.5420376914553347E-13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410.71046306000068</v>
      </c>
      <c r="T151" s="59">
        <f t="shared" si="142"/>
        <v>430.43167430170087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66.397575381456051</v>
      </c>
      <c r="AA151" s="21">
        <f>EXP(-LN(2)/25)*AA150+(1-EXP(-LN(2)/25))/(LN(2)/25)*Calculateur!V151*Calculateur!X151*VLOOKUP('Données projet'!$B$9,Paramètres!$A$1:$I$89,3,0)*0.475*44/12</f>
        <v>6.5341468214116123</v>
      </c>
      <c r="AB151" s="21">
        <f>EXP(-LN(2)/2)*AB150+(1-EXP(-LN(2)/2))/(LN(2)/2)*V151*Y151*VLOOKUP('Données projet'!$B$9,Paramètres!$A$1:$I$89,3,0)*0.475*44/12</f>
        <v>1.4571129779141449E-11</v>
      </c>
      <c r="AC151" s="22">
        <f t="shared" si="111"/>
        <v>72.931722202882227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2.2737367544323206E-13</v>
      </c>
      <c r="AJ151" s="13">
        <f>AI151*VLOOKUP('Données projet'!$B$10,Paramètres!$A$1:$I$89,3,0)*VLOOKUP('Données projet'!$B$10,Paramètres!$A$1:$I$89,5,0)</f>
        <v>1.0049916454590858E-13</v>
      </c>
      <c r="AK151" s="13">
        <f t="shared" si="143"/>
        <v>1.5089081593838289E-12</v>
      </c>
      <c r="AL151" s="20">
        <f t="shared" si="112"/>
        <v>2.8030510891776262E-12</v>
      </c>
      <c r="AM151" s="59">
        <f t="shared" si="113"/>
        <v>293.3333333333361</v>
      </c>
      <c r="AN151" s="59">
        <f ca="1">AVERAGE(OFFSET($AM$3,0,0,'Données projet'!$E$10+1,1))-AVERAGE(OFFSET($H$3,0,0,'Données projet'!$E$10+1,1))</f>
        <v>343.36665824683809</v>
      </c>
      <c r="AO151" s="59">
        <f t="shared" si="144"/>
        <v>342.89042241858527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44.739396051313946</v>
      </c>
      <c r="AV151" s="21">
        <f>EXP(-LN(2)/25)*AV150+(1-EXP(-LN(2)/25))/(LN(2)/25)*Calculateur!AQ151*Calculateur!AS151*VLOOKUP('Données projet'!$B$10,Paramètres!$A$1:$I$89,3,0)*0.475*44/12</f>
        <v>8.7727576410247199</v>
      </c>
      <c r="AW151" s="21">
        <f>EXP(-LN(2)/2)*AW150+(1-EXP(-LN(2)/2))/(LN(2)/2)*AQ151*AT151*VLOOKUP('Données projet'!$B$10,Paramètres!$A$1:$I$89,3,0)*0.475*44/12</f>
        <v>2.5720463222422254E-11</v>
      </c>
      <c r="AX151" s="21">
        <f t="shared" si="114"/>
        <v>53.512153692364386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-3.1036506698001178E-14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191.96190073146369</v>
      </c>
      <c r="BJ151" s="59">
        <f t="shared" si="146"/>
        <v>224.0560835232115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25.971265113419943</v>
      </c>
      <c r="BQ151" s="21">
        <f>EXP(-LN(2)/25)*BQ150+(1-EXP(-LN(2)/25))/(LN(2)/25)*Calculateur!BL151*Calculateur!BN151*VLOOKUP('Données projet'!$B$11,Paramètres!$A$1:$I$89,3,0)*0.475*44/12</f>
        <v>5.7805290052647553</v>
      </c>
      <c r="BR151" s="21">
        <f>EXP(-LN(2)/2)*BR150+(1-EXP(-LN(2)/2))/(LN(2)/2)*BL151*BO151*VLOOKUP('Données projet'!$B$11,Paramètres!$A$1:$I$89,3,0)*0.475*44/12</f>
        <v>1.3449904898910779E-11</v>
      </c>
      <c r="BS151" s="22">
        <f t="shared" si="117"/>
        <v>31.75179411869815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-4.5474735088646412E-13</v>
      </c>
      <c r="O152" s="13">
        <f>N152*VLOOKUP('Données projet'!$B$9,Paramètres!$A$1:$I$89,3,0)*VLOOKUP('Données projet'!$B$9,Paramètres!$A$1:$I$89,5,0)</f>
        <v>-2.5420376914553347E-13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410.71046306000068</v>
      </c>
      <c r="T152" s="59">
        <f t="shared" si="142"/>
        <v>430.43167430170087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65.095559426747784</v>
      </c>
      <c r="AA152" s="21">
        <f>EXP(-LN(2)/25)*AA151+(1-EXP(-LN(2)/25))/(LN(2)/25)*Calculateur!V152*Calculateur!X152*VLOOKUP('Données projet'!$B$9,Paramètres!$A$1:$I$89,3,0)*0.475*44/12</f>
        <v>6.3554702329642643</v>
      </c>
      <c r="AB152" s="21">
        <f>EXP(-LN(2)/2)*AB151+(1-EXP(-LN(2)/2))/(LN(2)/2)*V152*Y152*VLOOKUP('Données projet'!$B$9,Paramètres!$A$1:$I$89,3,0)*0.475*44/12</f>
        <v>1.0303344676380159E-11</v>
      </c>
      <c r="AC152" s="22">
        <f t="shared" si="111"/>
        <v>71.451029659722352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2.2737367544323206E-13</v>
      </c>
      <c r="AJ152" s="13">
        <f>AI152*VLOOKUP('Données projet'!$B$10,Paramètres!$A$1:$I$89,3,0)*VLOOKUP('Données projet'!$B$10,Paramètres!$A$1:$I$89,5,0)</f>
        <v>1.0049916454590858E-13</v>
      </c>
      <c r="AK152" s="13">
        <f t="shared" si="143"/>
        <v>1.5089081593838289E-12</v>
      </c>
      <c r="AL152" s="20">
        <f t="shared" si="112"/>
        <v>2.8030510891776262E-12</v>
      </c>
      <c r="AM152" s="59">
        <f t="shared" si="113"/>
        <v>293.3333333333361</v>
      </c>
      <c r="AN152" s="59">
        <f ca="1">AVERAGE(OFFSET($AM$3,0,0,'Données projet'!$E$10+1,1))-AVERAGE(OFFSET($H$3,0,0,'Données projet'!$E$10+1,1))</f>
        <v>343.36665824683809</v>
      </c>
      <c r="AO152" s="59">
        <f t="shared" si="144"/>
        <v>342.89042241858527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43.862083783084771</v>
      </c>
      <c r="AV152" s="21">
        <f>EXP(-LN(2)/25)*AV151+(1-EXP(-LN(2)/25))/(LN(2)/25)*Calculateur!AQ152*Calculateur!AS152*VLOOKUP('Données projet'!$B$10,Paramètres!$A$1:$I$89,3,0)*0.475*44/12</f>
        <v>8.5328661219916242</v>
      </c>
      <c r="AW152" s="21">
        <f>EXP(-LN(2)/2)*AW151+(1-EXP(-LN(2)/2))/(LN(2)/2)*AQ152*AT152*VLOOKUP('Données projet'!$B$10,Paramètres!$A$1:$I$89,3,0)*0.475*44/12</f>
        <v>1.8187113959833976E-11</v>
      </c>
      <c r="AX152" s="21">
        <f t="shared" si="114"/>
        <v>52.394949905094585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-3.1036506698001178E-14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191.96190073146369</v>
      </c>
      <c r="BJ152" s="59">
        <f t="shared" si="146"/>
        <v>224.0560835232115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25.461984445453336</v>
      </c>
      <c r="BQ152" s="21">
        <f>EXP(-LN(2)/25)*BQ151+(1-EXP(-LN(2)/25))/(LN(2)/25)*Calculateur!BL152*Calculateur!BN152*VLOOKUP('Données projet'!$B$11,Paramètres!$A$1:$I$89,3,0)*0.475*44/12</f>
        <v>5.6224601356309813</v>
      </c>
      <c r="BR152" s="21">
        <f>EXP(-LN(2)/2)*BR151+(1-EXP(-LN(2)/2))/(LN(2)/2)*BL152*BO152*VLOOKUP('Données projet'!$B$11,Paramètres!$A$1:$I$89,3,0)*0.475*44/12</f>
        <v>9.5105189603339774E-12</v>
      </c>
      <c r="BS152" s="22">
        <f t="shared" si="117"/>
        <v>31.084444581093827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-4.5474735088646412E-13</v>
      </c>
      <c r="O153" s="13">
        <f>N153*VLOOKUP('Données projet'!$B$9,Paramètres!$A$1:$I$89,3,0)*VLOOKUP('Données projet'!$B$9,Paramètres!$A$1:$I$89,5,0)</f>
        <v>-2.5420376914553347E-13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410.71046306000068</v>
      </c>
      <c r="T153" s="59">
        <f t="shared" si="142"/>
        <v>430.43167430170087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63.819075210760026</v>
      </c>
      <c r="AA153" s="21">
        <f>EXP(-LN(2)/25)*AA152+(1-EXP(-LN(2)/25))/(LN(2)/25)*Calculateur!V153*Calculateur!X153*VLOOKUP('Données projet'!$B$9,Paramètres!$A$1:$I$89,3,0)*0.475*44/12</f>
        <v>6.1816795652242025</v>
      </c>
      <c r="AB153" s="21">
        <f>EXP(-LN(2)/2)*AB152+(1-EXP(-LN(2)/2))/(LN(2)/2)*V153*Y153*VLOOKUP('Données projet'!$B$9,Paramètres!$A$1:$I$89,3,0)*0.475*44/12</f>
        <v>7.2855648895707246E-12</v>
      </c>
      <c r="AC153" s="22">
        <f t="shared" si="111"/>
        <v>70.000754775991524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2.2737367544323206E-13</v>
      </c>
      <c r="AJ153" s="13">
        <f>AI153*VLOOKUP('Données projet'!$B$10,Paramètres!$A$1:$I$89,3,0)*VLOOKUP('Données projet'!$B$10,Paramètres!$A$1:$I$89,5,0)</f>
        <v>1.0049916454590858E-13</v>
      </c>
      <c r="AK153" s="13">
        <f t="shared" si="143"/>
        <v>1.5089081593838289E-12</v>
      </c>
      <c r="AL153" s="20">
        <f t="shared" si="112"/>
        <v>2.8030510891776262E-12</v>
      </c>
      <c r="AM153" s="59">
        <f t="shared" si="113"/>
        <v>293.3333333333361</v>
      </c>
      <c r="AN153" s="59">
        <f ca="1">AVERAGE(OFFSET($AM$3,0,0,'Données projet'!$E$10+1,1))-AVERAGE(OFFSET($H$3,0,0,'Données projet'!$E$10+1,1))</f>
        <v>343.36665824683809</v>
      </c>
      <c r="AO153" s="59">
        <f t="shared" si="144"/>
        <v>342.89042241858527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43.001975073327927</v>
      </c>
      <c r="AV153" s="21">
        <f>EXP(-LN(2)/25)*AV152+(1-EXP(-LN(2)/25))/(LN(2)/25)*Calculateur!AQ153*Calculateur!AS153*VLOOKUP('Données projet'!$B$10,Paramètres!$A$1:$I$89,3,0)*0.475*44/12</f>
        <v>8.2995344491618361</v>
      </c>
      <c r="AW153" s="21">
        <f>EXP(-LN(2)/2)*AW152+(1-EXP(-LN(2)/2))/(LN(2)/2)*AQ153*AT153*VLOOKUP('Données projet'!$B$10,Paramètres!$A$1:$I$89,3,0)*0.475*44/12</f>
        <v>1.2860231611211127E-11</v>
      </c>
      <c r="AX153" s="21">
        <f t="shared" si="114"/>
        <v>51.301509522502627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-3.1036506698001178E-14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191.96190073146369</v>
      </c>
      <c r="BJ153" s="59">
        <f t="shared" si="146"/>
        <v>224.0560835232115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24.96269046075502</v>
      </c>
      <c r="BQ153" s="21">
        <f>EXP(-LN(2)/25)*BQ152+(1-EXP(-LN(2)/25))/(LN(2)/25)*Calculateur!BL153*Calculateur!BN153*VLOOKUP('Données projet'!$B$11,Paramètres!$A$1:$I$89,3,0)*0.475*44/12</f>
        <v>5.4687136675498236</v>
      </c>
      <c r="BR153" s="21">
        <f>EXP(-LN(2)/2)*BR152+(1-EXP(-LN(2)/2))/(LN(2)/2)*BL153*BO153*VLOOKUP('Données projet'!$B$11,Paramètres!$A$1:$I$89,3,0)*0.475*44/12</f>
        <v>6.7249524494553894E-12</v>
      </c>
      <c r="BS153" s="22">
        <f t="shared" si="117"/>
        <v>30.43140412831157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-4.5474735088646412E-13</v>
      </c>
      <c r="O154" s="13">
        <f>N154*VLOOKUP('Données projet'!$B$9,Paramètres!$A$1:$I$89,3,0)*VLOOKUP('Données projet'!$B$9,Paramètres!$A$1:$I$89,5,0)</f>
        <v>-2.5420376914553347E-13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410.71046306000068</v>
      </c>
      <c r="T154" s="59">
        <f t="shared" si="142"/>
        <v>430.43167430170087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62.567622071669298</v>
      </c>
      <c r="AA154" s="21">
        <f>EXP(-LN(2)/25)*AA153+(1-EXP(-LN(2)/25))/(LN(2)/25)*Calculateur!V154*Calculateur!X154*VLOOKUP('Données projet'!$B$9,Paramètres!$A$1:$I$89,3,0)*0.475*44/12</f>
        <v>6.0126412124327464</v>
      </c>
      <c r="AB154" s="21">
        <f>EXP(-LN(2)/2)*AB153+(1-EXP(-LN(2)/2))/(LN(2)/2)*V154*Y154*VLOOKUP('Données projet'!$B$9,Paramètres!$A$1:$I$89,3,0)*0.475*44/12</f>
        <v>5.1516723381900796E-12</v>
      </c>
      <c r="AC154" s="22">
        <f t="shared" ref="AC154:AC203" si="163">SUM(Z154:AB154)</f>
        <v>68.580263284107204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1.0049916454590858E-13</v>
      </c>
      <c r="AK154" s="13">
        <f t="shared" ref="AK154:AK203" si="164">EXP(-1.0587+0.8836*LN(AJ154)+0.284)</f>
        <v>1.5089081593838289E-12</v>
      </c>
      <c r="AL154" s="20">
        <f t="shared" ref="AL154:AL203" si="165">(AJ154+AK154)*0.475*44/12</f>
        <v>2.8030510891776262E-12</v>
      </c>
      <c r="AM154" s="59">
        <f t="shared" si="113"/>
        <v>293.3333333333361</v>
      </c>
      <c r="AN154" s="59">
        <f ca="1">AVERAGE(OFFSET($AM$3,0,0,'Données projet'!$E$10+1,1))-AVERAGE(OFFSET($H$3,0,0,'Données projet'!$E$10+1,1))</f>
        <v>343.36665824683809</v>
      </c>
      <c r="AO154" s="59">
        <f t="shared" si="144"/>
        <v>342.89042241858527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42.1587325707549</v>
      </c>
      <c r="AV154" s="21">
        <f>EXP(-LN(2)/25)*AV153+(1-EXP(-LN(2)/25))/(LN(2)/25)*Calculateur!AQ154*Calculateur!AS154*VLOOKUP('Données projet'!$B$10,Paramètres!$A$1:$I$89,3,0)*0.475*44/12</f>
        <v>8.0725832431959574</v>
      </c>
      <c r="AW154" s="21">
        <f>EXP(-LN(2)/2)*AW153+(1-EXP(-LN(2)/2))/(LN(2)/2)*AQ154*AT154*VLOOKUP('Données projet'!$B$10,Paramètres!$A$1:$I$89,3,0)*0.475*44/12</f>
        <v>9.0935569799169879E-12</v>
      </c>
      <c r="AX154" s="21">
        <f t="shared" ref="AX154:AX203" si="166">SUM(AU154:AW154)</f>
        <v>50.231315813959952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-3.1036506698001178E-14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191.96190073146369</v>
      </c>
      <c r="BJ154" s="59">
        <f t="shared" si="146"/>
        <v>224.0560835232115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24.47318732655738</v>
      </c>
      <c r="BQ154" s="21">
        <f>EXP(-LN(2)/25)*BQ153+(1-EXP(-LN(2)/25))/(LN(2)/25)*Calculateur!BL154*Calculateur!BN154*VLOOKUP('Données projet'!$B$11,Paramètres!$A$1:$I$89,3,0)*0.475*44/12</f>
        <v>5.3191714047235203</v>
      </c>
      <c r="BR154" s="21">
        <f>EXP(-LN(2)/2)*BR153+(1-EXP(-LN(2)/2))/(LN(2)/2)*BL154*BO154*VLOOKUP('Données projet'!$B$11,Paramètres!$A$1:$I$89,3,0)*0.475*44/12</f>
        <v>4.7552594801669887E-12</v>
      </c>
      <c r="BS154" s="22">
        <f t="shared" ref="BS154:BS203" si="169">SUM(BP154:BR154)</f>
        <v>29.792358731285653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-4.5474735088646412E-13</v>
      </c>
      <c r="O155" s="13">
        <f>N155*VLOOKUP('Données projet'!$B$9,Paramètres!$A$1:$I$89,3,0)*VLOOKUP('Données projet'!$B$9,Paramètres!$A$1:$I$89,5,0)</f>
        <v>-2.5420376914553347E-13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410.71046306000068</v>
      </c>
      <c r="T155" s="59">
        <f t="shared" si="142"/>
        <v>430.43167430170087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61.340709165325094</v>
      </c>
      <c r="AA155" s="21">
        <f>EXP(-LN(2)/25)*AA154+(1-EXP(-LN(2)/25))/(LN(2)/25)*Calculateur!V155*Calculateur!X155*VLOOKUP('Données projet'!$B$9,Paramètres!$A$1:$I$89,3,0)*0.475*44/12</f>
        <v>5.8482252222877138</v>
      </c>
      <c r="AB155" s="21">
        <f>EXP(-LN(2)/2)*AB154+(1-EXP(-LN(2)/2))/(LN(2)/2)*V155*Y155*VLOOKUP('Données projet'!$B$9,Paramètres!$A$1:$I$89,3,0)*0.475*44/12</f>
        <v>3.6427824447853623E-12</v>
      </c>
      <c r="AC155" s="22">
        <f t="shared" si="163"/>
        <v>67.188934387616442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1.0049916454590858E-13</v>
      </c>
      <c r="AK155" s="13">
        <f t="shared" si="164"/>
        <v>1.5089081593838289E-12</v>
      </c>
      <c r="AL155" s="20">
        <f t="shared" si="165"/>
        <v>2.8030510891776262E-12</v>
      </c>
      <c r="AM155" s="59">
        <f t="shared" si="113"/>
        <v>293.3333333333361</v>
      </c>
      <c r="AN155" s="59">
        <f ca="1">AVERAGE(OFFSET($AM$3,0,0,'Données projet'!$E$10+1,1))-AVERAGE(OFFSET($H$3,0,0,'Données projet'!$E$10+1,1))</f>
        <v>343.36665824683809</v>
      </c>
      <c r="AO155" s="59">
        <f t="shared" si="144"/>
        <v>342.89042241858527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41.332025539330189</v>
      </c>
      <c r="AV155" s="21">
        <f>EXP(-LN(2)/25)*AV154+(1-EXP(-LN(2)/25))/(LN(2)/25)*Calculateur!AQ155*Calculateur!AS155*VLOOKUP('Données projet'!$B$10,Paramètres!$A$1:$I$89,3,0)*0.475*44/12</f>
        <v>7.8518380298920611</v>
      </c>
      <c r="AW155" s="21">
        <f>EXP(-LN(2)/2)*AW154+(1-EXP(-LN(2)/2))/(LN(2)/2)*AQ155*AT155*VLOOKUP('Données projet'!$B$10,Paramètres!$A$1:$I$89,3,0)*0.475*44/12</f>
        <v>6.4301158056055636E-12</v>
      </c>
      <c r="AX155" s="21">
        <f t="shared" si="166"/>
        <v>49.183863569228684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-3.1036506698001178E-14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191.96190073146369</v>
      </c>
      <c r="BJ155" s="59">
        <f t="shared" si="146"/>
        <v>224.0560835232115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23.993283050253922</v>
      </c>
      <c r="BQ155" s="21">
        <f>EXP(-LN(2)/25)*BQ154+(1-EXP(-LN(2)/25))/(LN(2)/25)*Calculateur!BL155*Calculateur!BN155*VLOOKUP('Données projet'!$B$11,Paramètres!$A$1:$I$89,3,0)*0.475*44/12</f>
        <v>5.1737183829382882</v>
      </c>
      <c r="BR155" s="21">
        <f>EXP(-LN(2)/2)*BR154+(1-EXP(-LN(2)/2))/(LN(2)/2)*BL155*BO155*VLOOKUP('Données projet'!$B$11,Paramètres!$A$1:$I$89,3,0)*0.475*44/12</f>
        <v>3.3624762247276947E-12</v>
      </c>
      <c r="BS155" s="22">
        <f t="shared" si="169"/>
        <v>29.167001433195573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-4.5474735088646412E-13</v>
      </c>
      <c r="O156" s="13">
        <f>N156*VLOOKUP('Données projet'!$B$9,Paramètres!$A$1:$I$89,3,0)*VLOOKUP('Données projet'!$B$9,Paramètres!$A$1:$I$89,5,0)</f>
        <v>-2.5420376914553347E-13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410.71046306000068</v>
      </c>
      <c r="T156" s="59">
        <f t="shared" si="142"/>
        <v>430.43167430170087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60.137855272731322</v>
      </c>
      <c r="AA156" s="21">
        <f>EXP(-LN(2)/25)*AA155+(1-EXP(-LN(2)/25))/(LN(2)/25)*Calculateur!V156*Calculateur!X156*VLOOKUP('Données projet'!$B$9,Paramètres!$A$1:$I$89,3,0)*0.475*44/12</f>
        <v>5.6883051960394582</v>
      </c>
      <c r="AB156" s="21">
        <f>EXP(-LN(2)/2)*AB155+(1-EXP(-LN(2)/2))/(LN(2)/2)*V156*Y156*VLOOKUP('Données projet'!$B$9,Paramètres!$A$1:$I$89,3,0)*0.475*44/12</f>
        <v>2.5758361690950398E-12</v>
      </c>
      <c r="AC156" s="22">
        <f t="shared" si="163"/>
        <v>65.826160468773352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1.0049916454590858E-13</v>
      </c>
      <c r="AK156" s="13">
        <f t="shared" si="164"/>
        <v>1.5089081593838289E-12</v>
      </c>
      <c r="AL156" s="20">
        <f t="shared" si="165"/>
        <v>2.8030510891776262E-12</v>
      </c>
      <c r="AM156" s="59">
        <f t="shared" si="113"/>
        <v>293.3333333333361</v>
      </c>
      <c r="AN156" s="59">
        <f ca="1">AVERAGE(OFFSET($AM$3,0,0,'Données projet'!$E$10+1,1))-AVERAGE(OFFSET($H$3,0,0,'Données projet'!$E$10+1,1))</f>
        <v>343.36665824683809</v>
      </c>
      <c r="AO156" s="59">
        <f t="shared" si="144"/>
        <v>342.89042241858527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40.52152972855022</v>
      </c>
      <c r="AV156" s="21">
        <f>EXP(-LN(2)/25)*AV155+(1-EXP(-LN(2)/25))/(LN(2)/25)*Calculateur!AQ156*Calculateur!AS156*VLOOKUP('Données projet'!$B$10,Paramètres!$A$1:$I$89,3,0)*0.475*44/12</f>
        <v>7.6371291060544459</v>
      </c>
      <c r="AW156" s="21">
        <f>EXP(-LN(2)/2)*AW155+(1-EXP(-LN(2)/2))/(LN(2)/2)*AQ156*AT156*VLOOKUP('Données projet'!$B$10,Paramètres!$A$1:$I$89,3,0)*0.475*44/12</f>
        <v>4.5467784899584939E-12</v>
      </c>
      <c r="AX156" s="21">
        <f t="shared" si="166"/>
        <v>48.158658834609213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-3.1036506698001178E-14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191.96190073146369</v>
      </c>
      <c r="BJ156" s="59">
        <f t="shared" si="146"/>
        <v>224.0560835232115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23.52278940409607</v>
      </c>
      <c r="BQ156" s="21">
        <f>EXP(-LN(2)/25)*BQ155+(1-EXP(-LN(2)/25))/(LN(2)/25)*Calculateur!BL156*Calculateur!BN156*VLOOKUP('Données projet'!$B$11,Paramètres!$A$1:$I$89,3,0)*0.475*44/12</f>
        <v>5.0322427816828155</v>
      </c>
      <c r="BR156" s="21">
        <f>EXP(-LN(2)/2)*BR155+(1-EXP(-LN(2)/2))/(LN(2)/2)*BL156*BO156*VLOOKUP('Données projet'!$B$11,Paramètres!$A$1:$I$89,3,0)*0.475*44/12</f>
        <v>2.3776297400834944E-12</v>
      </c>
      <c r="BS156" s="22">
        <f t="shared" si="169"/>
        <v>28.555032185781261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-4.5474735088646412E-13</v>
      </c>
      <c r="O157" s="13">
        <f>N157*VLOOKUP('Données projet'!$B$9,Paramètres!$A$1:$I$89,3,0)*VLOOKUP('Données projet'!$B$9,Paramètres!$A$1:$I$89,5,0)</f>
        <v>-2.5420376914553347E-13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410.71046306000068</v>
      </c>
      <c r="T157" s="59">
        <f t="shared" si="142"/>
        <v>430.43167430170087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58.958588611302879</v>
      </c>
      <c r="AA157" s="21">
        <f>EXP(-LN(2)/25)*AA156+(1-EXP(-LN(2)/25))/(LN(2)/25)*Calculateur!V157*Calculateur!X157*VLOOKUP('Données projet'!$B$9,Paramètres!$A$1:$I$89,3,0)*0.475*44/12</f>
        <v>5.5327581913187895</v>
      </c>
      <c r="AB157" s="21">
        <f>EXP(-LN(2)/2)*AB156+(1-EXP(-LN(2)/2))/(LN(2)/2)*V157*Y157*VLOOKUP('Données projet'!$B$9,Paramètres!$A$1:$I$89,3,0)*0.475*44/12</f>
        <v>1.8213912223926811E-12</v>
      </c>
      <c r="AC157" s="22">
        <f t="shared" si="163"/>
        <v>64.491346802623482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1.0049916454590858E-13</v>
      </c>
      <c r="AK157" s="13">
        <f t="shared" si="164"/>
        <v>1.5089081593838289E-12</v>
      </c>
      <c r="AL157" s="20">
        <f t="shared" si="165"/>
        <v>2.8030510891776262E-12</v>
      </c>
      <c r="AM157" s="59">
        <f t="shared" si="113"/>
        <v>293.3333333333361</v>
      </c>
      <c r="AN157" s="59">
        <f ca="1">AVERAGE(OFFSET($AM$3,0,0,'Données projet'!$E$10+1,1))-AVERAGE(OFFSET($H$3,0,0,'Données projet'!$E$10+1,1))</f>
        <v>343.36665824683809</v>
      </c>
      <c r="AO157" s="59">
        <f t="shared" si="144"/>
        <v>342.89042241858527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39.726927246266015</v>
      </c>
      <c r="AV157" s="21">
        <f>EXP(-LN(2)/25)*AV156+(1-EXP(-LN(2)/25))/(LN(2)/25)*Calculateur!AQ157*Calculateur!AS157*VLOOKUP('Données projet'!$B$10,Paramètres!$A$1:$I$89,3,0)*0.475*44/12</f>
        <v>7.4282914090302219</v>
      </c>
      <c r="AW157" s="21">
        <f>EXP(-LN(2)/2)*AW156+(1-EXP(-LN(2)/2))/(LN(2)/2)*AQ157*AT157*VLOOKUP('Données projet'!$B$10,Paramètres!$A$1:$I$89,3,0)*0.475*44/12</f>
        <v>3.2150579028027818E-12</v>
      </c>
      <c r="AX157" s="21">
        <f t="shared" si="166"/>
        <v>47.15521865529945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-3.1036506698001178E-14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191.96190073146369</v>
      </c>
      <c r="BJ157" s="59">
        <f t="shared" si="146"/>
        <v>224.0560835232115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23.061521851366585</v>
      </c>
      <c r="BQ157" s="21">
        <f>EXP(-LN(2)/25)*BQ156+(1-EXP(-LN(2)/25))/(LN(2)/25)*Calculateur!BL157*Calculateur!BN157*VLOOKUP('Données projet'!$B$11,Paramètres!$A$1:$I$89,3,0)*0.475*44/12</f>
        <v>4.894635838183552</v>
      </c>
      <c r="BR157" s="21">
        <f>EXP(-LN(2)/2)*BR156+(1-EXP(-LN(2)/2))/(LN(2)/2)*BL157*BO157*VLOOKUP('Données projet'!$B$11,Paramètres!$A$1:$I$89,3,0)*0.475*44/12</f>
        <v>1.6812381123638473E-12</v>
      </c>
      <c r="BS157" s="22">
        <f t="shared" si="169"/>
        <v>27.956157689551819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-4.5474735088646412E-13</v>
      </c>
      <c r="O158" s="13">
        <f>N158*VLOOKUP('Données projet'!$B$9,Paramètres!$A$1:$I$89,3,0)*VLOOKUP('Données projet'!$B$9,Paramètres!$A$1:$I$89,5,0)</f>
        <v>-2.5420376914553347E-13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410.71046306000068</v>
      </c>
      <c r="T158" s="59">
        <f t="shared" si="142"/>
        <v>430.43167430170087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57.802446649823409</v>
      </c>
      <c r="AA158" s="21">
        <f>EXP(-LN(2)/25)*AA157+(1-EXP(-LN(2)/25))/(LN(2)/25)*Calculateur!V158*Calculateur!X158*VLOOKUP('Données projet'!$B$9,Paramètres!$A$1:$I$89,3,0)*0.475*44/12</f>
        <v>5.3814646276220692</v>
      </c>
      <c r="AB158" s="21">
        <f>EXP(-LN(2)/2)*AB157+(1-EXP(-LN(2)/2))/(LN(2)/2)*V158*Y158*VLOOKUP('Données projet'!$B$9,Paramètres!$A$1:$I$89,3,0)*0.475*44/12</f>
        <v>1.2879180845475199E-12</v>
      </c>
      <c r="AC158" s="22">
        <f t="shared" si="163"/>
        <v>63.183911277446761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1.0049916454590858E-13</v>
      </c>
      <c r="AK158" s="13">
        <f t="shared" si="164"/>
        <v>1.5089081593838289E-12</v>
      </c>
      <c r="AL158" s="20">
        <f t="shared" si="165"/>
        <v>2.8030510891776262E-12</v>
      </c>
      <c r="AM158" s="59">
        <f t="shared" si="113"/>
        <v>293.3333333333361</v>
      </c>
      <c r="AN158" s="59">
        <f ca="1">AVERAGE(OFFSET($AM$3,0,0,'Données projet'!$E$10+1,1))-AVERAGE(OFFSET($H$3,0,0,'Données projet'!$E$10+1,1))</f>
        <v>343.36665824683809</v>
      </c>
      <c r="AO158" s="59">
        <f t="shared" si="144"/>
        <v>342.89042241858527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38.947906433999741</v>
      </c>
      <c r="AV158" s="21">
        <f>EXP(-LN(2)/25)*AV157+(1-EXP(-LN(2)/25))/(LN(2)/25)*Calculateur!AQ158*Calculateur!AS158*VLOOKUP('Données projet'!$B$10,Paramètres!$A$1:$I$89,3,0)*0.475*44/12</f>
        <v>7.2251643898134228</v>
      </c>
      <c r="AW158" s="21">
        <f>EXP(-LN(2)/2)*AW157+(1-EXP(-LN(2)/2))/(LN(2)/2)*AQ158*AT158*VLOOKUP('Données projet'!$B$10,Paramètres!$A$1:$I$89,3,0)*0.475*44/12</f>
        <v>2.273389244979247E-12</v>
      </c>
      <c r="AX158" s="21">
        <f t="shared" si="166"/>
        <v>46.173070823815436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-3.1036506698001178E-14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191.96190073146369</v>
      </c>
      <c r="BJ158" s="59">
        <f t="shared" si="146"/>
        <v>224.0560835232115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22.6092994740007</v>
      </c>
      <c r="BQ158" s="21">
        <f>EXP(-LN(2)/25)*BQ157+(1-EXP(-LN(2)/25))/(LN(2)/25)*Calculateur!BL158*Calculateur!BN158*VLOOKUP('Données projet'!$B$11,Paramètres!$A$1:$I$89,3,0)*0.475*44/12</f>
        <v>4.7607917637907109</v>
      </c>
      <c r="BR158" s="21">
        <f>EXP(-LN(2)/2)*BR157+(1-EXP(-LN(2)/2))/(LN(2)/2)*BL158*BO158*VLOOKUP('Données projet'!$B$11,Paramètres!$A$1:$I$89,3,0)*0.475*44/12</f>
        <v>1.1888148700417472E-12</v>
      </c>
      <c r="BS158" s="22">
        <f t="shared" si="169"/>
        <v>27.3700912377926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-4.5474735088646412E-13</v>
      </c>
      <c r="O159" s="13">
        <f>N159*VLOOKUP('Données projet'!$B$9,Paramètres!$A$1:$I$89,3,0)*VLOOKUP('Données projet'!$B$9,Paramètres!$A$1:$I$89,5,0)</f>
        <v>-2.5420376914553347E-13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410.71046306000068</v>
      </c>
      <c r="T159" s="59">
        <f t="shared" si="142"/>
        <v>430.43167430170087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56.668975927031589</v>
      </c>
      <c r="AA159" s="21">
        <f>EXP(-LN(2)/25)*AA158+(1-EXP(-LN(2)/25))/(LN(2)/25)*Calculateur!V159*Calculateur!X159*VLOOKUP('Données projet'!$B$9,Paramètres!$A$1:$I$89,3,0)*0.475*44/12</f>
        <v>5.2343081943808185</v>
      </c>
      <c r="AB159" s="21">
        <f>EXP(-LN(2)/2)*AB158+(1-EXP(-LN(2)/2))/(LN(2)/2)*V159*Y159*VLOOKUP('Données projet'!$B$9,Paramètres!$A$1:$I$89,3,0)*0.475*44/12</f>
        <v>9.1069561119634057E-13</v>
      </c>
      <c r="AC159" s="22">
        <f t="shared" si="163"/>
        <v>61.903284121413314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1.0049916454590858E-13</v>
      </c>
      <c r="AK159" s="13">
        <f t="shared" si="164"/>
        <v>1.5089081593838289E-12</v>
      </c>
      <c r="AL159" s="20">
        <f t="shared" si="165"/>
        <v>2.8030510891776262E-12</v>
      </c>
      <c r="AM159" s="59">
        <f t="shared" si="113"/>
        <v>293.3333333333361</v>
      </c>
      <c r="AN159" s="59">
        <f ca="1">AVERAGE(OFFSET($AM$3,0,0,'Données projet'!$E$10+1,1))-AVERAGE(OFFSET($H$3,0,0,'Données projet'!$E$10+1,1))</f>
        <v>343.36665824683809</v>
      </c>
      <c r="AO159" s="59">
        <f t="shared" si="144"/>
        <v>342.89042241858527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38.18416174470623</v>
      </c>
      <c r="AV159" s="21">
        <f>EXP(-LN(2)/25)*AV158+(1-EXP(-LN(2)/25))/(LN(2)/25)*Calculateur!AQ159*Calculateur!AS159*VLOOKUP('Données projet'!$B$10,Paramètres!$A$1:$I$89,3,0)*0.475*44/12</f>
        <v>7.0275918896190932</v>
      </c>
      <c r="AW159" s="21">
        <f>EXP(-LN(2)/2)*AW158+(1-EXP(-LN(2)/2))/(LN(2)/2)*AQ159*AT159*VLOOKUP('Données projet'!$B$10,Paramètres!$A$1:$I$89,3,0)*0.475*44/12</f>
        <v>1.6075289514013909E-12</v>
      </c>
      <c r="AX159" s="21">
        <f t="shared" si="166"/>
        <v>45.211753634326932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-3.1036506698001178E-14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191.96190073146369</v>
      </c>
      <c r="BJ159" s="59">
        <f t="shared" si="146"/>
        <v>224.0560835232115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22.165944901626546</v>
      </c>
      <c r="BQ159" s="21">
        <f>EXP(-LN(2)/25)*BQ158+(1-EXP(-LN(2)/25))/(LN(2)/25)*Calculateur!BL159*Calculateur!BN159*VLOOKUP('Données projet'!$B$11,Paramètres!$A$1:$I$89,3,0)*0.475*44/12</f>
        <v>4.6306076626506956</v>
      </c>
      <c r="BR159" s="21">
        <f>EXP(-LN(2)/2)*BR158+(1-EXP(-LN(2)/2))/(LN(2)/2)*BL159*BO159*VLOOKUP('Données projet'!$B$11,Paramètres!$A$1:$I$89,3,0)*0.475*44/12</f>
        <v>8.4061905618192367E-13</v>
      </c>
      <c r="BS159" s="22">
        <f t="shared" si="169"/>
        <v>26.796552564278084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-4.5474735088646412E-13</v>
      </c>
      <c r="O160" s="13">
        <f>N160*VLOOKUP('Données projet'!$B$9,Paramètres!$A$1:$I$89,3,0)*VLOOKUP('Données projet'!$B$9,Paramètres!$A$1:$I$89,5,0)</f>
        <v>-2.5420376914553347E-13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410.71046306000068</v>
      </c>
      <c r="T160" s="59">
        <f t="shared" si="142"/>
        <v>430.43167430170087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55.557731873764837</v>
      </c>
      <c r="AA160" s="21">
        <f>EXP(-LN(2)/25)*AA159+(1-EXP(-LN(2)/25))/(LN(2)/25)*Calculateur!V160*Calculateur!X160*VLOOKUP('Données projet'!$B$9,Paramètres!$A$1:$I$89,3,0)*0.475*44/12</f>
        <v>5.0911757615451698</v>
      </c>
      <c r="AB160" s="21">
        <f>EXP(-LN(2)/2)*AB159+(1-EXP(-LN(2)/2))/(LN(2)/2)*V160*Y160*VLOOKUP('Données projet'!$B$9,Paramètres!$A$1:$I$89,3,0)*0.475*44/12</f>
        <v>6.4395904227375995E-13</v>
      </c>
      <c r="AC160" s="22">
        <f t="shared" si="163"/>
        <v>60.648907635310657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1.0049916454590858E-13</v>
      </c>
      <c r="AK160" s="13">
        <f t="shared" si="164"/>
        <v>1.5089081593838289E-12</v>
      </c>
      <c r="AL160" s="20">
        <f t="shared" si="165"/>
        <v>2.8030510891776262E-12</v>
      </c>
      <c r="AM160" s="59">
        <f t="shared" si="113"/>
        <v>293.3333333333361</v>
      </c>
      <c r="AN160" s="59">
        <f ca="1">AVERAGE(OFFSET($AM$3,0,0,'Données projet'!$E$10+1,1))-AVERAGE(OFFSET($H$3,0,0,'Données projet'!$E$10+1,1))</f>
        <v>343.36665824683809</v>
      </c>
      <c r="AO160" s="59">
        <f t="shared" si="144"/>
        <v>342.89042241858527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37.435393622931507</v>
      </c>
      <c r="AV160" s="21">
        <f>EXP(-LN(2)/25)*AV159+(1-EXP(-LN(2)/25))/(LN(2)/25)*Calculateur!AQ160*Calculateur!AS160*VLOOKUP('Données projet'!$B$10,Paramètres!$A$1:$I$89,3,0)*0.475*44/12</f>
        <v>6.8354220198324631</v>
      </c>
      <c r="AW160" s="21">
        <f>EXP(-LN(2)/2)*AW159+(1-EXP(-LN(2)/2))/(LN(2)/2)*AQ160*AT160*VLOOKUP('Données projet'!$B$10,Paramètres!$A$1:$I$89,3,0)*0.475*44/12</f>
        <v>1.1366946224896235E-12</v>
      </c>
      <c r="AX160" s="21">
        <f t="shared" si="166"/>
        <v>44.270815642765108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-3.1036506698001178E-14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191.96190073146369</v>
      </c>
      <c r="BJ160" s="59">
        <f t="shared" si="146"/>
        <v>224.0560835232115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21.731284241997059</v>
      </c>
      <c r="BQ160" s="21">
        <f>EXP(-LN(2)/25)*BQ159+(1-EXP(-LN(2)/25))/(LN(2)/25)*Calculateur!BL160*Calculateur!BN160*VLOOKUP('Données projet'!$B$11,Paramètres!$A$1:$I$89,3,0)*0.475*44/12</f>
        <v>4.5039834526024389</v>
      </c>
      <c r="BR160" s="21">
        <f>EXP(-LN(2)/2)*BR159+(1-EXP(-LN(2)/2))/(LN(2)/2)*BL160*BO160*VLOOKUP('Données projet'!$B$11,Paramètres!$A$1:$I$89,3,0)*0.475*44/12</f>
        <v>5.9440743502087359E-13</v>
      </c>
      <c r="BS160" s="22">
        <f t="shared" si="169"/>
        <v>26.235267694600093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-4.5474735088646412E-13</v>
      </c>
      <c r="O161" s="13">
        <f>N161*VLOOKUP('Données projet'!$B$9,Paramètres!$A$1:$I$89,3,0)*VLOOKUP('Données projet'!$B$9,Paramètres!$A$1:$I$89,5,0)</f>
        <v>-2.5420376914553347E-13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410.71046306000068</v>
      </c>
      <c r="T161" s="59">
        <f t="shared" si="142"/>
        <v>430.43167430170087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54.468278638590704</v>
      </c>
      <c r="AA161" s="21">
        <f>EXP(-LN(2)/25)*AA160+(1-EXP(-LN(2)/25))/(LN(2)/25)*Calculateur!V161*Calculateur!X161*VLOOKUP('Données projet'!$B$9,Paramètres!$A$1:$I$89,3,0)*0.475*44/12</f>
        <v>4.9519572926124198</v>
      </c>
      <c r="AB161" s="21">
        <f>EXP(-LN(2)/2)*AB160+(1-EXP(-LN(2)/2))/(LN(2)/2)*V161*Y161*VLOOKUP('Données projet'!$B$9,Paramètres!$A$1:$I$89,3,0)*0.475*44/12</f>
        <v>4.5534780559817029E-13</v>
      </c>
      <c r="AC161" s="22">
        <f t="shared" si="163"/>
        <v>59.420235931203578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1.0049916454590858E-13</v>
      </c>
      <c r="AK161" s="13">
        <f t="shared" si="164"/>
        <v>1.5089081593838289E-12</v>
      </c>
      <c r="AL161" s="20">
        <f t="shared" si="165"/>
        <v>2.8030510891776262E-12</v>
      </c>
      <c r="AM161" s="59">
        <f t="shared" si="113"/>
        <v>293.3333333333361</v>
      </c>
      <c r="AN161" s="59">
        <f ca="1">AVERAGE(OFFSET($AM$3,0,0,'Données projet'!$E$10+1,1))-AVERAGE(OFFSET($H$3,0,0,'Données projet'!$E$10+1,1))</f>
        <v>343.36665824683809</v>
      </c>
      <c r="AO161" s="59">
        <f t="shared" si="144"/>
        <v>342.89042241858527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36.701308387321326</v>
      </c>
      <c r="AV161" s="21">
        <f>EXP(-LN(2)/25)*AV160+(1-EXP(-LN(2)/25))/(LN(2)/25)*Calculateur!AQ161*Calculateur!AS161*VLOOKUP('Données projet'!$B$10,Paramètres!$A$1:$I$89,3,0)*0.475*44/12</f>
        <v>6.6485070452409234</v>
      </c>
      <c r="AW161" s="21">
        <f>EXP(-LN(2)/2)*AW160+(1-EXP(-LN(2)/2))/(LN(2)/2)*AQ161*AT161*VLOOKUP('Données projet'!$B$10,Paramètres!$A$1:$I$89,3,0)*0.475*44/12</f>
        <v>8.0376447570069545E-13</v>
      </c>
      <c r="AX161" s="21">
        <f t="shared" si="166"/>
        <v>43.349815432563055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-3.1036506698001178E-14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191.96190073146369</v>
      </c>
      <c r="BJ161" s="59">
        <f t="shared" si="146"/>
        <v>224.0560835232115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21.305147012786083</v>
      </c>
      <c r="BQ161" s="21">
        <f>EXP(-LN(2)/25)*BQ160+(1-EXP(-LN(2)/25))/(LN(2)/25)*Calculateur!BL161*Calculateur!BN161*VLOOKUP('Données projet'!$B$11,Paramètres!$A$1:$I$89,3,0)*0.475*44/12</f>
        <v>4.3808217882368297</v>
      </c>
      <c r="BR161" s="21">
        <f>EXP(-LN(2)/2)*BR160+(1-EXP(-LN(2)/2))/(LN(2)/2)*BL161*BO161*VLOOKUP('Données projet'!$B$11,Paramètres!$A$1:$I$89,3,0)*0.475*44/12</f>
        <v>4.2030952809096183E-13</v>
      </c>
      <c r="BS161" s="22">
        <f t="shared" si="169"/>
        <v>25.685968801023332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-4.5474735088646412E-13</v>
      </c>
      <c r="O162" s="13">
        <f>N162*VLOOKUP('Données projet'!$B$9,Paramètres!$A$1:$I$89,3,0)*VLOOKUP('Données projet'!$B$9,Paramètres!$A$1:$I$89,5,0)</f>
        <v>-2.5420376914553347E-13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410.71046306000068</v>
      </c>
      <c r="T162" s="59">
        <f t="shared" si="142"/>
        <v>430.43167430170087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53.400188916857473</v>
      </c>
      <c r="AA162" s="21">
        <f>EXP(-LN(2)/25)*AA161+(1-EXP(-LN(2)/25))/(LN(2)/25)*Calculateur!V162*Calculateur!X162*VLOOKUP('Données projet'!$B$9,Paramètres!$A$1:$I$89,3,0)*0.475*44/12</f>
        <v>4.8165457600338168</v>
      </c>
      <c r="AB162" s="21">
        <f>EXP(-LN(2)/2)*AB161+(1-EXP(-LN(2)/2))/(LN(2)/2)*V162*Y162*VLOOKUP('Données projet'!$B$9,Paramètres!$A$1:$I$89,3,0)*0.475*44/12</f>
        <v>3.2197952113687998E-13</v>
      </c>
      <c r="AC162" s="22">
        <f t="shared" si="163"/>
        <v>58.216734676891612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1.0049916454590858E-13</v>
      </c>
      <c r="AK162" s="13">
        <f t="shared" si="164"/>
        <v>1.5089081593838289E-12</v>
      </c>
      <c r="AL162" s="20">
        <f t="shared" si="165"/>
        <v>2.8030510891776262E-12</v>
      </c>
      <c r="AM162" s="59">
        <f t="shared" si="113"/>
        <v>293.3333333333361</v>
      </c>
      <c r="AN162" s="59">
        <f ca="1">AVERAGE(OFFSET($AM$3,0,0,'Données projet'!$E$10+1,1))-AVERAGE(OFFSET($H$3,0,0,'Données projet'!$E$10+1,1))</f>
        <v>343.36665824683809</v>
      </c>
      <c r="AO162" s="59">
        <f t="shared" si="144"/>
        <v>342.89042241858527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35.981618115433676</v>
      </c>
      <c r="AV162" s="21">
        <f>EXP(-LN(2)/25)*AV161+(1-EXP(-LN(2)/25))/(LN(2)/25)*Calculateur!AQ162*Calculateur!AS162*VLOOKUP('Données projet'!$B$10,Paramètres!$A$1:$I$89,3,0)*0.475*44/12</f>
        <v>6.4667032704590204</v>
      </c>
      <c r="AW162" s="21">
        <f>EXP(-LN(2)/2)*AW161+(1-EXP(-LN(2)/2))/(LN(2)/2)*AQ162*AT162*VLOOKUP('Données projet'!$B$10,Paramètres!$A$1:$I$89,3,0)*0.475*44/12</f>
        <v>5.6834731124481174E-13</v>
      </c>
      <c r="AX162" s="21">
        <f t="shared" si="166"/>
        <v>42.448321385893266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-3.1036506698001178E-14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191.96190073146369</v>
      </c>
      <c r="BJ162" s="59">
        <f t="shared" si="146"/>
        <v>224.0560835232115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20.887366074721889</v>
      </c>
      <c r="BQ162" s="21">
        <f>EXP(-LN(2)/25)*BQ161+(1-EXP(-LN(2)/25))/(LN(2)/25)*Calculateur!BL162*Calculateur!BN162*VLOOKUP('Données projet'!$B$11,Paramètres!$A$1:$I$89,3,0)*0.475*44/12</f>
        <v>4.2610279860600881</v>
      </c>
      <c r="BR162" s="21">
        <f>EXP(-LN(2)/2)*BR161+(1-EXP(-LN(2)/2))/(LN(2)/2)*BL162*BO162*VLOOKUP('Données projet'!$B$11,Paramètres!$A$1:$I$89,3,0)*0.475*44/12</f>
        <v>2.9720371751043679E-13</v>
      </c>
      <c r="BS162" s="22">
        <f t="shared" si="169"/>
        <v>25.148394060782277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-4.5474735088646412E-13</v>
      </c>
      <c r="O163" s="13">
        <f>N163*VLOOKUP('Données projet'!$B$9,Paramètres!$A$1:$I$89,3,0)*VLOOKUP('Données projet'!$B$9,Paramètres!$A$1:$I$89,5,0)</f>
        <v>-2.5420376914553347E-13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410.71046306000068</v>
      </c>
      <c r="T163" s="59">
        <f t="shared" si="142"/>
        <v>430.43167430170087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52.353043783097029</v>
      </c>
      <c r="AA163" s="21">
        <f>EXP(-LN(2)/25)*AA162+(1-EXP(-LN(2)/25))/(LN(2)/25)*Calculateur!V163*Calculateur!X163*VLOOKUP('Données projet'!$B$9,Paramètres!$A$1:$I$89,3,0)*0.475*44/12</f>
        <v>4.6848370629345588</v>
      </c>
      <c r="AB163" s="21">
        <f>EXP(-LN(2)/2)*AB162+(1-EXP(-LN(2)/2))/(LN(2)/2)*V163*Y163*VLOOKUP('Données projet'!$B$9,Paramètres!$A$1:$I$89,3,0)*0.475*44/12</f>
        <v>2.2767390279908514E-13</v>
      </c>
      <c r="AC163" s="22">
        <f t="shared" si="163"/>
        <v>57.037880846031811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1.0049916454590858E-13</v>
      </c>
      <c r="AK163" s="13">
        <f t="shared" si="164"/>
        <v>1.5089081593838289E-12</v>
      </c>
      <c r="AL163" s="20">
        <f t="shared" si="165"/>
        <v>2.8030510891776262E-12</v>
      </c>
      <c r="AM163" s="59">
        <f t="shared" si="113"/>
        <v>293.3333333333361</v>
      </c>
      <c r="AN163" s="59">
        <f ca="1">AVERAGE(OFFSET($AM$3,0,0,'Données projet'!$E$10+1,1))-AVERAGE(OFFSET($H$3,0,0,'Données projet'!$E$10+1,1))</f>
        <v>343.36665824683809</v>
      </c>
      <c r="AO163" s="59">
        <f t="shared" si="144"/>
        <v>342.89042241858527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35.276040530810022</v>
      </c>
      <c r="AV163" s="21">
        <f>EXP(-LN(2)/25)*AV162+(1-EXP(-LN(2)/25))/(LN(2)/25)*Calculateur!AQ163*Calculateur!AS163*VLOOKUP('Données projet'!$B$10,Paramètres!$A$1:$I$89,3,0)*0.475*44/12</f>
        <v>6.2898709294591733</v>
      </c>
      <c r="AW163" s="21">
        <f>EXP(-LN(2)/2)*AW162+(1-EXP(-LN(2)/2))/(LN(2)/2)*AQ163*AT163*VLOOKUP('Données projet'!$B$10,Paramètres!$A$1:$I$89,3,0)*0.475*44/12</f>
        <v>4.0188223785034772E-13</v>
      </c>
      <c r="AX163" s="21">
        <f t="shared" si="166"/>
        <v>41.565911460269596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-3.1036506698001178E-14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191.96190073146369</v>
      </c>
      <c r="BJ163" s="59">
        <f t="shared" si="146"/>
        <v>224.0560835232115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20.477777566031925</v>
      </c>
      <c r="BQ163" s="21">
        <f>EXP(-LN(2)/25)*BQ162+(1-EXP(-LN(2)/25))/(LN(2)/25)*Calculateur!BL163*Calculateur!BN163*VLOOKUP('Données projet'!$B$11,Paramètres!$A$1:$I$89,3,0)*0.475*44/12</f>
        <v>4.1445099517035517</v>
      </c>
      <c r="BR163" s="21">
        <f>EXP(-LN(2)/2)*BR162+(1-EXP(-LN(2)/2))/(LN(2)/2)*BL163*BO163*VLOOKUP('Données projet'!$B$11,Paramètres!$A$1:$I$89,3,0)*0.475*44/12</f>
        <v>2.1015476404548092E-13</v>
      </c>
      <c r="BS163" s="22">
        <f t="shared" si="169"/>
        <v>24.622287517735685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-4.5474735088646412E-13</v>
      </c>
      <c r="O164" s="13">
        <f>N164*VLOOKUP('Données projet'!$B$9,Paramètres!$A$1:$I$89,3,0)*VLOOKUP('Données projet'!$B$9,Paramètres!$A$1:$I$89,5,0)</f>
        <v>-2.5420376914553347E-13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410.71046306000068</v>
      </c>
      <c r="T164" s="59">
        <f t="shared" si="142"/>
        <v>430.43167430170087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51.326432526714157</v>
      </c>
      <c r="AA164" s="21">
        <f>EXP(-LN(2)/25)*AA163+(1-EXP(-LN(2)/25))/(LN(2)/25)*Calculateur!V164*Calculateur!X164*VLOOKUP('Données projet'!$B$9,Paramètres!$A$1:$I$89,3,0)*0.475*44/12</f>
        <v>4.5567299470837392</v>
      </c>
      <c r="AB164" s="21">
        <f>EXP(-LN(2)/2)*AB163+(1-EXP(-LN(2)/2))/(LN(2)/2)*V164*Y164*VLOOKUP('Données projet'!$B$9,Paramètres!$A$1:$I$89,3,0)*0.475*44/12</f>
        <v>1.6098976056843999E-13</v>
      </c>
      <c r="AC164" s="22">
        <f t="shared" si="163"/>
        <v>55.883162473798059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1.0049916454590858E-13</v>
      </c>
      <c r="AK164" s="13">
        <f t="shared" si="164"/>
        <v>1.5089081593838289E-12</v>
      </c>
      <c r="AL164" s="20">
        <f t="shared" si="165"/>
        <v>2.8030510891776262E-12</v>
      </c>
      <c r="AM164" s="59">
        <f t="shared" si="113"/>
        <v>293.3333333333361</v>
      </c>
      <c r="AN164" s="59">
        <f ca="1">AVERAGE(OFFSET($AM$3,0,0,'Données projet'!$E$10+1,1))-AVERAGE(OFFSET($H$3,0,0,'Données projet'!$E$10+1,1))</f>
        <v>343.36665824683809</v>
      </c>
      <c r="AO164" s="59">
        <f t="shared" si="144"/>
        <v>342.89042241858527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34.584298892261003</v>
      </c>
      <c r="AV164" s="21">
        <f>EXP(-LN(2)/25)*AV163+(1-EXP(-LN(2)/25))/(LN(2)/25)*Calculateur!AQ164*Calculateur!AS164*VLOOKUP('Données projet'!$B$10,Paramètres!$A$1:$I$89,3,0)*0.475*44/12</f>
        <v>6.117874078123176</v>
      </c>
      <c r="AW164" s="21">
        <f>EXP(-LN(2)/2)*AW163+(1-EXP(-LN(2)/2))/(LN(2)/2)*AQ164*AT164*VLOOKUP('Données projet'!$B$10,Paramètres!$A$1:$I$89,3,0)*0.475*44/12</f>
        <v>2.8417365562240587E-13</v>
      </c>
      <c r="AX164" s="21">
        <f t="shared" si="166"/>
        <v>40.702172970384467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-3.1036506698001178E-14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191.96190073146369</v>
      </c>
      <c r="BJ164" s="59">
        <f t="shared" si="146"/>
        <v>224.0560835232115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20.076220838173047</v>
      </c>
      <c r="BQ164" s="21">
        <f>EXP(-LN(2)/25)*BQ163+(1-EXP(-LN(2)/25))/(LN(2)/25)*Calculateur!BL164*Calculateur!BN164*VLOOKUP('Données projet'!$B$11,Paramètres!$A$1:$I$89,3,0)*0.475*44/12</f>
        <v>4.0311781091239123</v>
      </c>
      <c r="BR164" s="21">
        <f>EXP(-LN(2)/2)*BR163+(1-EXP(-LN(2)/2))/(LN(2)/2)*BL164*BO164*VLOOKUP('Données projet'!$B$11,Paramètres!$A$1:$I$89,3,0)*0.475*44/12</f>
        <v>1.486018587552184E-13</v>
      </c>
      <c r="BS164" s="22">
        <f t="shared" si="169"/>
        <v>24.107398947297106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-2.5420376914553347E-13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410.71046306000068</v>
      </c>
      <c r="T165" s="59">
        <f t="shared" si="142"/>
        <v>430.43167430170087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50.319952490897919</v>
      </c>
      <c r="AA165" s="21">
        <f>EXP(-LN(2)/25)*AA164+(1-EXP(-LN(2)/25))/(LN(2)/25)*Calculateur!V165*Calculateur!X165*VLOOKUP('Données projet'!$B$9,Paramètres!$A$1:$I$89,3,0)*0.475*44/12</f>
        <v>4.4321259270527209</v>
      </c>
      <c r="AB165" s="21">
        <f>EXP(-LN(2)/2)*AB164+(1-EXP(-LN(2)/2))/(LN(2)/2)*V165*Y165*VLOOKUP('Données projet'!$B$9,Paramètres!$A$1:$I$89,3,0)*0.475*44/12</f>
        <v>1.1383695139954257E-13</v>
      </c>
      <c r="AC165" s="22">
        <f t="shared" si="163"/>
        <v>54.752078417950756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1.0049916454590858E-13</v>
      </c>
      <c r="AK165" s="13">
        <f t="shared" si="164"/>
        <v>1.5089081593838289E-12</v>
      </c>
      <c r="AL165" s="20">
        <f t="shared" si="165"/>
        <v>2.8030510891776262E-12</v>
      </c>
      <c r="AM165" s="59">
        <f t="shared" si="113"/>
        <v>293.3333333333361</v>
      </c>
      <c r="AN165" s="59">
        <f ca="1">AVERAGE(OFFSET($AM$3,0,0,'Données projet'!$E$10+1,1))-AVERAGE(OFFSET($H$3,0,0,'Données projet'!$E$10+1,1))</f>
        <v>343.36665824683809</v>
      </c>
      <c r="AO165" s="59">
        <f t="shared" si="144"/>
        <v>342.89042241858527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33.906121885323195</v>
      </c>
      <c r="AV165" s="21">
        <f>EXP(-LN(2)/25)*AV164+(1-EXP(-LN(2)/25))/(LN(2)/25)*Calculateur!AQ165*Calculateur!AS165*VLOOKUP('Données projet'!$B$10,Paramètres!$A$1:$I$89,3,0)*0.475*44/12</f>
        <v>5.9505804897318821</v>
      </c>
      <c r="AW165" s="21">
        <f>EXP(-LN(2)/2)*AW164+(1-EXP(-LN(2)/2))/(LN(2)/2)*AQ165*AT165*VLOOKUP('Données projet'!$B$10,Paramètres!$A$1:$I$89,3,0)*0.475*44/12</f>
        <v>2.0094111892517386E-13</v>
      </c>
      <c r="AX165" s="21">
        <f t="shared" si="166"/>
        <v>39.856702375055278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-3.1036506698001178E-14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191.96190073146369</v>
      </c>
      <c r="BJ165" s="59">
        <f t="shared" si="146"/>
        <v>224.0560835232115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19.682538392822064</v>
      </c>
      <c r="BQ165" s="21">
        <f>EXP(-LN(2)/25)*BQ164+(1-EXP(-LN(2)/25))/(LN(2)/25)*Calculateur!BL165*Calculateur!BN165*VLOOKUP('Données projet'!$B$11,Paramètres!$A$1:$I$89,3,0)*0.475*44/12</f>
        <v>3.9209453317394756</v>
      </c>
      <c r="BR165" s="21">
        <f>EXP(-LN(2)/2)*BR164+(1-EXP(-LN(2)/2))/(LN(2)/2)*BL165*BO165*VLOOKUP('Données projet'!$B$11,Paramètres!$A$1:$I$89,3,0)*0.475*44/12</f>
        <v>1.0507738202274046E-13</v>
      </c>
      <c r="BS165" s="22">
        <f t="shared" si="169"/>
        <v>23.603483724561645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-2.5420376914553347E-13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410.71046306000068</v>
      </c>
      <c r="T166" s="59">
        <f t="shared" si="142"/>
        <v>430.43167430170087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49.333208914691831</v>
      </c>
      <c r="AA166" s="21">
        <f>EXP(-LN(2)/25)*AA165+(1-EXP(-LN(2)/25))/(LN(2)/25)*Calculateur!V166*Calculateur!X166*VLOOKUP('Données projet'!$B$9,Paramètres!$A$1:$I$89,3,0)*0.475*44/12</f>
        <v>4.3109292105020911</v>
      </c>
      <c r="AB166" s="21">
        <f>EXP(-LN(2)/2)*AB165+(1-EXP(-LN(2)/2))/(LN(2)/2)*V166*Y166*VLOOKUP('Données projet'!$B$9,Paramètres!$A$1:$I$89,3,0)*0.475*44/12</f>
        <v>8.0494880284219994E-14</v>
      </c>
      <c r="AC166" s="22">
        <f t="shared" si="163"/>
        <v>53.644138125193997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1.0049916454590858E-13</v>
      </c>
      <c r="AK166" s="13">
        <f t="shared" si="164"/>
        <v>1.5089081593838289E-12</v>
      </c>
      <c r="AL166" s="20">
        <f t="shared" si="165"/>
        <v>2.8030510891776262E-12</v>
      </c>
      <c r="AM166" s="59">
        <f t="shared" si="113"/>
        <v>293.3333333333361</v>
      </c>
      <c r="AN166" s="59">
        <f ca="1">AVERAGE(OFFSET($AM$3,0,0,'Données projet'!$E$10+1,1))-AVERAGE(OFFSET($H$3,0,0,'Données projet'!$E$10+1,1))</f>
        <v>343.36665824683809</v>
      </c>
      <c r="AO166" s="59">
        <f t="shared" si="144"/>
        <v>342.89042241858527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33.24124351584431</v>
      </c>
      <c r="AV166" s="21">
        <f>EXP(-LN(2)/25)*AV165+(1-EXP(-LN(2)/25))/(LN(2)/25)*Calculateur!AQ166*Calculateur!AS166*VLOOKUP('Données projet'!$B$10,Paramètres!$A$1:$I$89,3,0)*0.475*44/12</f>
        <v>5.7878615533127364</v>
      </c>
      <c r="AW166" s="21">
        <f>EXP(-LN(2)/2)*AW165+(1-EXP(-LN(2)/2))/(LN(2)/2)*AQ166*AT166*VLOOKUP('Données projet'!$B$10,Paramètres!$A$1:$I$89,3,0)*0.475*44/12</f>
        <v>1.4208682781120294E-13</v>
      </c>
      <c r="AX166" s="21">
        <f t="shared" si="166"/>
        <v>39.02910506915719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-3.1036506698001178E-14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191.96190073146369</v>
      </c>
      <c r="BJ166" s="59">
        <f t="shared" si="146"/>
        <v>224.0560835232115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19.296575820101832</v>
      </c>
      <c r="BQ166" s="21">
        <f>EXP(-LN(2)/25)*BQ165+(1-EXP(-LN(2)/25))/(LN(2)/25)*Calculateur!BL166*Calculateur!BN166*VLOOKUP('Données projet'!$B$11,Paramètres!$A$1:$I$89,3,0)*0.475*44/12</f>
        <v>3.8137268754495062</v>
      </c>
      <c r="BR166" s="21">
        <f>EXP(-LN(2)/2)*BR165+(1-EXP(-LN(2)/2))/(LN(2)/2)*BL166*BO166*VLOOKUP('Données projet'!$B$11,Paramètres!$A$1:$I$89,3,0)*0.475*44/12</f>
        <v>7.4300929377609199E-14</v>
      </c>
      <c r="BS166" s="22">
        <f t="shared" si="169"/>
        <v>23.110302695551415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-2.5420376914553347E-13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410.71046306000068</v>
      </c>
      <c r="T167" s="59">
        <f t="shared" si="142"/>
        <v>430.43167430170087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48.365814778160996</v>
      </c>
      <c r="AA167" s="21">
        <f>EXP(-LN(2)/25)*AA166+(1-EXP(-LN(2)/25))/(LN(2)/25)*Calculateur!V167*Calculateur!X167*VLOOKUP('Données projet'!$B$9,Paramètres!$A$1:$I$89,3,0)*0.475*44/12</f>
        <v>4.1930466245389972</v>
      </c>
      <c r="AB167" s="21">
        <f>EXP(-LN(2)/2)*AB166+(1-EXP(-LN(2)/2))/(LN(2)/2)*V167*Y167*VLOOKUP('Données projet'!$B$9,Paramètres!$A$1:$I$89,3,0)*0.475*44/12</f>
        <v>5.6918475699771286E-14</v>
      </c>
      <c r="AC167" s="22">
        <f t="shared" si="163"/>
        <v>52.558861402700046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1.0049916454590858E-13</v>
      </c>
      <c r="AK167" s="13">
        <f t="shared" si="164"/>
        <v>1.5089081593838289E-12</v>
      </c>
      <c r="AL167" s="20">
        <f t="shared" si="165"/>
        <v>2.8030510891776262E-12</v>
      </c>
      <c r="AM167" s="59">
        <f t="shared" si="113"/>
        <v>293.3333333333361</v>
      </c>
      <c r="AN167" s="59">
        <f ca="1">AVERAGE(OFFSET($AM$3,0,0,'Données projet'!$E$10+1,1))-AVERAGE(OFFSET($H$3,0,0,'Données projet'!$E$10+1,1))</f>
        <v>343.36665824683809</v>
      </c>
      <c r="AO167" s="59">
        <f t="shared" si="144"/>
        <v>342.89042241858527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32.589403005655143</v>
      </c>
      <c r="AV167" s="21">
        <f>EXP(-LN(2)/25)*AV166+(1-EXP(-LN(2)/25))/(LN(2)/25)*Calculateur!AQ167*Calculateur!AS167*VLOOKUP('Données projet'!$B$10,Paramètres!$A$1:$I$89,3,0)*0.475*44/12</f>
        <v>5.629592174766989</v>
      </c>
      <c r="AW167" s="21">
        <f>EXP(-LN(2)/2)*AW166+(1-EXP(-LN(2)/2))/(LN(2)/2)*AQ167*AT167*VLOOKUP('Données projet'!$B$10,Paramètres!$A$1:$I$89,3,0)*0.475*44/12</f>
        <v>1.0047055946258693E-13</v>
      </c>
      <c r="AX167" s="21">
        <f t="shared" si="166"/>
        <v>38.218995180422233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-3.1036506698001178E-14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191.96190073146369</v>
      </c>
      <c r="BJ167" s="59">
        <f t="shared" si="146"/>
        <v>224.0560835232115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18.91818173801872</v>
      </c>
      <c r="BQ167" s="21">
        <f>EXP(-LN(2)/25)*BQ166+(1-EXP(-LN(2)/25))/(LN(2)/25)*Calculateur!BL167*Calculateur!BN167*VLOOKUP('Données projet'!$B$11,Paramètres!$A$1:$I$89,3,0)*0.475*44/12</f>
        <v>3.7094403134851595</v>
      </c>
      <c r="BR167" s="21">
        <f>EXP(-LN(2)/2)*BR166+(1-EXP(-LN(2)/2))/(LN(2)/2)*BL167*BO167*VLOOKUP('Données projet'!$B$11,Paramètres!$A$1:$I$89,3,0)*0.475*44/12</f>
        <v>5.2538691011370229E-14</v>
      </c>
      <c r="BS167" s="22">
        <f t="shared" si="169"/>
        <v>22.627622051503934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-2.5420376914553347E-13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410.71046306000068</v>
      </c>
      <c r="T168" s="59">
        <f t="shared" si="142"/>
        <v>430.43167430170087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47.417390650595365</v>
      </c>
      <c r="AA168" s="21">
        <f>EXP(-LN(2)/25)*AA167+(1-EXP(-LN(2)/25))/(LN(2)/25)*Calculateur!V168*Calculateur!X168*VLOOKUP('Données projet'!$B$9,Paramètres!$A$1:$I$89,3,0)*0.475*44/12</f>
        <v>4.0783875440882396</v>
      </c>
      <c r="AB168" s="21">
        <f>EXP(-LN(2)/2)*AB167+(1-EXP(-LN(2)/2))/(LN(2)/2)*V168*Y168*VLOOKUP('Données projet'!$B$9,Paramètres!$A$1:$I$89,3,0)*0.475*44/12</f>
        <v>4.0247440142109997E-14</v>
      </c>
      <c r="AC168" s="22">
        <f t="shared" si="163"/>
        <v>51.495778194683645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1.0049916454590858E-13</v>
      </c>
      <c r="AK168" s="13">
        <f t="shared" si="164"/>
        <v>1.5089081593838289E-12</v>
      </c>
      <c r="AL168" s="20">
        <f t="shared" si="165"/>
        <v>2.8030510891776262E-12</v>
      </c>
      <c r="AM168" s="59">
        <f t="shared" si="113"/>
        <v>293.3333333333361</v>
      </c>
      <c r="AN168" s="59">
        <f ca="1">AVERAGE(OFFSET($AM$3,0,0,'Données projet'!$E$10+1,1))-AVERAGE(OFFSET($H$3,0,0,'Données projet'!$E$10+1,1))</f>
        <v>343.36665824683809</v>
      </c>
      <c r="AO168" s="59">
        <f t="shared" si="144"/>
        <v>342.89042241858527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31.950344690287331</v>
      </c>
      <c r="AV168" s="21">
        <f>EXP(-LN(2)/25)*AV167+(1-EXP(-LN(2)/25))/(LN(2)/25)*Calculateur!AQ168*Calculateur!AS168*VLOOKUP('Données projet'!$B$10,Paramètres!$A$1:$I$89,3,0)*0.475*44/12</f>
        <v>5.4756506807005998</v>
      </c>
      <c r="AW168" s="21">
        <f>EXP(-LN(2)/2)*AW167+(1-EXP(-LN(2)/2))/(LN(2)/2)*AQ168*AT168*VLOOKUP('Données projet'!$B$10,Paramètres!$A$1:$I$89,3,0)*0.475*44/12</f>
        <v>7.1043413905601468E-14</v>
      </c>
      <c r="AX168" s="21">
        <f t="shared" si="166"/>
        <v>37.425995370988005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-3.1036506698001178E-14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191.96190073146369</v>
      </c>
      <c r="BJ168" s="59">
        <f t="shared" si="146"/>
        <v>224.0560835232115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18.547207733087657</v>
      </c>
      <c r="BQ168" s="21">
        <f>EXP(-LN(2)/25)*BQ167+(1-EXP(-LN(2)/25))/(LN(2)/25)*Calculateur!BL168*Calculateur!BN168*VLOOKUP('Données projet'!$B$11,Paramètres!$A$1:$I$89,3,0)*0.475*44/12</f>
        <v>3.6080054730419198</v>
      </c>
      <c r="BR168" s="21">
        <f>EXP(-LN(2)/2)*BR167+(1-EXP(-LN(2)/2))/(LN(2)/2)*BL168*BO168*VLOOKUP('Données projet'!$B$11,Paramètres!$A$1:$I$89,3,0)*0.475*44/12</f>
        <v>3.7150464688804599E-14</v>
      </c>
      <c r="BS168" s="22">
        <f t="shared" si="169"/>
        <v>22.155213206129613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-2.5420376914553347E-13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410.71046306000068</v>
      </c>
      <c r="T169" s="59">
        <f t="shared" si="142"/>
        <v>430.43167430170087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46.4875645416897</v>
      </c>
      <c r="AA169" s="21">
        <f>EXP(-LN(2)/25)*AA168+(1-EXP(-LN(2)/25))/(LN(2)/25)*Calculateur!V169*Calculateur!X169*VLOOKUP('Données projet'!$B$9,Paramètres!$A$1:$I$89,3,0)*0.475*44/12</f>
        <v>3.9668638222220669</v>
      </c>
      <c r="AB169" s="21">
        <f>EXP(-LN(2)/2)*AB168+(1-EXP(-LN(2)/2))/(LN(2)/2)*V169*Y169*VLOOKUP('Données projet'!$B$9,Paramètres!$A$1:$I$89,3,0)*0.475*44/12</f>
        <v>2.8459237849885643E-14</v>
      </c>
      <c r="AC169" s="22">
        <f t="shared" si="163"/>
        <v>50.454428363911795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1.0049916454590858E-13</v>
      </c>
      <c r="AK169" s="13">
        <f t="shared" si="164"/>
        <v>1.5089081593838289E-12</v>
      </c>
      <c r="AL169" s="20">
        <f t="shared" si="165"/>
        <v>2.8030510891776262E-12</v>
      </c>
      <c r="AM169" s="59">
        <f t="shared" si="113"/>
        <v>293.3333333333361</v>
      </c>
      <c r="AN169" s="59">
        <f ca="1">AVERAGE(OFFSET($AM$3,0,0,'Données projet'!$E$10+1,1))-AVERAGE(OFFSET($H$3,0,0,'Données projet'!$E$10+1,1))</f>
        <v>343.36665824683809</v>
      </c>
      <c r="AO169" s="59">
        <f t="shared" si="144"/>
        <v>342.89042241858527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31.323817918696797</v>
      </c>
      <c r="AV169" s="21">
        <f>EXP(-LN(2)/25)*AV168+(1-EXP(-LN(2)/25))/(LN(2)/25)*Calculateur!AQ169*Calculateur!AS169*VLOOKUP('Données projet'!$B$10,Paramètres!$A$1:$I$89,3,0)*0.475*44/12</f>
        <v>5.3259187248848869</v>
      </c>
      <c r="AW169" s="21">
        <f>EXP(-LN(2)/2)*AW168+(1-EXP(-LN(2)/2))/(LN(2)/2)*AQ169*AT169*VLOOKUP('Données projet'!$B$10,Paramètres!$A$1:$I$89,3,0)*0.475*44/12</f>
        <v>5.0235279731293465E-14</v>
      </c>
      <c r="AX169" s="21">
        <f t="shared" si="166"/>
        <v>36.649736643581733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-3.1036506698001178E-14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191.96190073146369</v>
      </c>
      <c r="BJ169" s="59">
        <f t="shared" si="146"/>
        <v>224.0560835232115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18.183508302121492</v>
      </c>
      <c r="BQ169" s="21">
        <f>EXP(-LN(2)/25)*BQ168+(1-EXP(-LN(2)/25))/(LN(2)/25)*Calculateur!BL169*Calculateur!BN169*VLOOKUP('Données projet'!$B$11,Paramètres!$A$1:$I$89,3,0)*0.475*44/12</f>
        <v>3.5093443736448267</v>
      </c>
      <c r="BR169" s="21">
        <f>EXP(-LN(2)/2)*BR168+(1-EXP(-LN(2)/2))/(LN(2)/2)*BL169*BO169*VLOOKUP('Données projet'!$B$11,Paramètres!$A$1:$I$89,3,0)*0.475*44/12</f>
        <v>2.6269345505685115E-14</v>
      </c>
      <c r="BS169" s="22">
        <f t="shared" si="169"/>
        <v>21.692852675766343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-2.5420376914553347E-13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410.71046306000068</v>
      </c>
      <c r="T170" s="59">
        <f t="shared" si="142"/>
        <v>430.43167430170087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45.575971755641753</v>
      </c>
      <c r="AA170" s="21">
        <f>EXP(-LN(2)/25)*AA169+(1-EXP(-LN(2)/25))/(LN(2)/25)*Calculateur!V170*Calculateur!X170*VLOOKUP('Données projet'!$B$9,Paramètres!$A$1:$I$89,3,0)*0.475*44/12</f>
        <v>3.8583897223951023</v>
      </c>
      <c r="AB170" s="21">
        <f>EXP(-LN(2)/2)*AB169+(1-EXP(-LN(2)/2))/(LN(2)/2)*V170*Y170*VLOOKUP('Données projet'!$B$9,Paramètres!$A$1:$I$89,3,0)*0.475*44/12</f>
        <v>2.0123720071054998E-14</v>
      </c>
      <c r="AC170" s="22">
        <f t="shared" si="163"/>
        <v>49.434361478036877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1.0049916454590858E-13</v>
      </c>
      <c r="AK170" s="13">
        <f t="shared" si="164"/>
        <v>1.5089081593838289E-12</v>
      </c>
      <c r="AL170" s="20">
        <f t="shared" si="165"/>
        <v>2.8030510891776262E-12</v>
      </c>
      <c r="AM170" s="59">
        <f t="shared" si="113"/>
        <v>293.3333333333361</v>
      </c>
      <c r="AN170" s="59">
        <f ca="1">AVERAGE(OFFSET($AM$3,0,0,'Données projet'!$E$10+1,1))-AVERAGE(OFFSET($H$3,0,0,'Données projet'!$E$10+1,1))</f>
        <v>343.36665824683809</v>
      </c>
      <c r="AO170" s="59">
        <f t="shared" si="144"/>
        <v>342.89042241858527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30.709576954953558</v>
      </c>
      <c r="AV170" s="21">
        <f>EXP(-LN(2)/25)*AV169+(1-EXP(-LN(2)/25))/(LN(2)/25)*Calculateur!AQ170*Calculateur!AS170*VLOOKUP('Données projet'!$B$10,Paramètres!$A$1:$I$89,3,0)*0.475*44/12</f>
        <v>5.1802811972750167</v>
      </c>
      <c r="AW170" s="21">
        <f>EXP(-LN(2)/2)*AW169+(1-EXP(-LN(2)/2))/(LN(2)/2)*AQ170*AT170*VLOOKUP('Données projet'!$B$10,Paramètres!$A$1:$I$89,3,0)*0.475*44/12</f>
        <v>3.5521706952800734E-14</v>
      </c>
      <c r="AX170" s="21">
        <f t="shared" si="166"/>
        <v>35.889858152228612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-3.1036506698001178E-14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191.96190073146369</v>
      </c>
      <c r="BJ170" s="59">
        <f t="shared" si="146"/>
        <v>224.0560835232115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17.826940795161825</v>
      </c>
      <c r="BQ170" s="21">
        <f>EXP(-LN(2)/25)*BQ169+(1-EXP(-LN(2)/25))/(LN(2)/25)*Calculateur!BL170*Calculateur!BN170*VLOOKUP('Données projet'!$B$11,Paramètres!$A$1:$I$89,3,0)*0.475*44/12</f>
        <v>3.413381167199109</v>
      </c>
      <c r="BR170" s="21">
        <f>EXP(-LN(2)/2)*BR169+(1-EXP(-LN(2)/2))/(LN(2)/2)*BL170*BO170*VLOOKUP('Données projet'!$B$11,Paramètres!$A$1:$I$89,3,0)*0.475*44/12</f>
        <v>1.85752323444023E-14</v>
      </c>
      <c r="BS170" s="22">
        <f t="shared" si="169"/>
        <v>21.240321962360952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-2.5420376914553347E-13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410.71046306000068</v>
      </c>
      <c r="T171" s="59">
        <f t="shared" si="142"/>
        <v>430.43167430170087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44.682254748111504</v>
      </c>
      <c r="AA171" s="21">
        <f>EXP(-LN(2)/25)*AA170+(1-EXP(-LN(2)/25))/(LN(2)/25)*Calculateur!V171*Calculateur!X171*VLOOKUP('Données projet'!$B$9,Paramètres!$A$1:$I$89,3,0)*0.475*44/12</f>
        <v>3.7528818525323113</v>
      </c>
      <c r="AB171" s="21">
        <f>EXP(-LN(2)/2)*AB170+(1-EXP(-LN(2)/2))/(LN(2)/2)*V171*Y171*VLOOKUP('Données projet'!$B$9,Paramètres!$A$1:$I$89,3,0)*0.475*44/12</f>
        <v>1.4229618924942821E-14</v>
      </c>
      <c r="AC171" s="22">
        <f t="shared" si="163"/>
        <v>48.43513660064383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1.0049916454590858E-13</v>
      </c>
      <c r="AK171" s="13">
        <f t="shared" si="164"/>
        <v>1.5089081593838289E-12</v>
      </c>
      <c r="AL171" s="20">
        <f t="shared" si="165"/>
        <v>2.8030510891776262E-12</v>
      </c>
      <c r="AM171" s="59">
        <f t="shared" si="113"/>
        <v>293.3333333333361</v>
      </c>
      <c r="AN171" s="59">
        <f ca="1">AVERAGE(OFFSET($AM$3,0,0,'Données projet'!$E$10+1,1))-AVERAGE(OFFSET($H$3,0,0,'Données projet'!$E$10+1,1))</f>
        <v>343.36665824683809</v>
      </c>
      <c r="AO171" s="59">
        <f t="shared" si="144"/>
        <v>342.89042241858527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30.107380881859328</v>
      </c>
      <c r="AV171" s="21">
        <f>EXP(-LN(2)/25)*AV170+(1-EXP(-LN(2)/25))/(LN(2)/25)*Calculateur!AQ171*Calculateur!AS171*VLOOKUP('Données projet'!$B$10,Paramètres!$A$1:$I$89,3,0)*0.475*44/12</f>
        <v>5.0386261355163828</v>
      </c>
      <c r="AW171" s="21">
        <f>EXP(-LN(2)/2)*AW170+(1-EXP(-LN(2)/2))/(LN(2)/2)*AQ171*AT171*VLOOKUP('Données projet'!$B$10,Paramètres!$A$1:$I$89,3,0)*0.475*44/12</f>
        <v>2.5117639865646733E-14</v>
      </c>
      <c r="AX171" s="21">
        <f t="shared" si="166"/>
        <v>35.146007017375737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-3.1036506698001178E-14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191.96190073146369</v>
      </c>
      <c r="BJ171" s="59">
        <f t="shared" si="146"/>
        <v>224.0560835232115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17.477365359528932</v>
      </c>
      <c r="BQ171" s="21">
        <f>EXP(-LN(2)/25)*BQ170+(1-EXP(-LN(2)/25))/(LN(2)/25)*Calculateur!BL171*Calculateur!BN171*VLOOKUP('Données projet'!$B$11,Paramètres!$A$1:$I$89,3,0)*0.475*44/12</f>
        <v>3.3200420796801353</v>
      </c>
      <c r="BR171" s="21">
        <f>EXP(-LN(2)/2)*BR170+(1-EXP(-LN(2)/2))/(LN(2)/2)*BL171*BO171*VLOOKUP('Données projet'!$B$11,Paramètres!$A$1:$I$89,3,0)*0.475*44/12</f>
        <v>1.3134672752842557E-14</v>
      </c>
      <c r="BS171" s="22">
        <f t="shared" si="169"/>
        <v>20.797407439209081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-2.5420376914553347E-13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410.71046306000068</v>
      </c>
      <c r="T172" s="59">
        <f t="shared" si="142"/>
        <v>430.43167430170087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43.806062985985378</v>
      </c>
      <c r="AA172" s="21">
        <f>EXP(-LN(2)/25)*AA171+(1-EXP(-LN(2)/25))/(LN(2)/25)*Calculateur!V172*Calculateur!X172*VLOOKUP('Données projet'!$B$9,Paramètres!$A$1:$I$89,3,0)*0.475*44/12</f>
        <v>3.6502591009193361</v>
      </c>
      <c r="AB172" s="21">
        <f>EXP(-LN(2)/2)*AB171+(1-EXP(-LN(2)/2))/(LN(2)/2)*V172*Y172*VLOOKUP('Données projet'!$B$9,Paramètres!$A$1:$I$89,3,0)*0.475*44/12</f>
        <v>1.0061860035527499E-14</v>
      </c>
      <c r="AC172" s="22">
        <f t="shared" si="163"/>
        <v>47.45632208690472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1.0049916454590858E-13</v>
      </c>
      <c r="AK172" s="13">
        <f t="shared" si="164"/>
        <v>1.5089081593838289E-12</v>
      </c>
      <c r="AL172" s="20">
        <f t="shared" si="165"/>
        <v>2.8030510891776262E-12</v>
      </c>
      <c r="AM172" s="59">
        <f t="shared" si="113"/>
        <v>293.3333333333361</v>
      </c>
      <c r="AN172" s="59">
        <f ca="1">AVERAGE(OFFSET($AM$3,0,0,'Données projet'!$E$10+1,1))-AVERAGE(OFFSET($H$3,0,0,'Données projet'!$E$10+1,1))</f>
        <v>343.36665824683809</v>
      </c>
      <c r="AO172" s="59">
        <f t="shared" si="144"/>
        <v>342.89042241858527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29.51699350645514</v>
      </c>
      <c r="AV172" s="21">
        <f>EXP(-LN(2)/25)*AV171+(1-EXP(-LN(2)/25))/(LN(2)/25)*Calculateur!AQ172*Calculateur!AS172*VLOOKUP('Données projet'!$B$10,Paramètres!$A$1:$I$89,3,0)*0.475*44/12</f>
        <v>4.9008446388708551</v>
      </c>
      <c r="AW172" s="21">
        <f>EXP(-LN(2)/2)*AW171+(1-EXP(-LN(2)/2))/(LN(2)/2)*AQ172*AT172*VLOOKUP('Données projet'!$B$10,Paramètres!$A$1:$I$89,3,0)*0.475*44/12</f>
        <v>1.7760853476400367E-14</v>
      </c>
      <c r="AX172" s="21">
        <f t="shared" si="166"/>
        <v>34.417838145326009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-3.1036506698001178E-14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191.96190073146369</v>
      </c>
      <c r="BJ172" s="59">
        <f t="shared" si="146"/>
        <v>224.0560835232115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17.134644884968836</v>
      </c>
      <c r="BQ172" s="21">
        <f>EXP(-LN(2)/25)*BQ171+(1-EXP(-LN(2)/25))/(LN(2)/25)*Calculateur!BL172*Calculateur!BN172*VLOOKUP('Données projet'!$B$11,Paramètres!$A$1:$I$89,3,0)*0.475*44/12</f>
        <v>3.229255354417857</v>
      </c>
      <c r="BR172" s="21">
        <f>EXP(-LN(2)/2)*BR171+(1-EXP(-LN(2)/2))/(LN(2)/2)*BL172*BO172*VLOOKUP('Données projet'!$B$11,Paramètres!$A$1:$I$89,3,0)*0.475*44/12</f>
        <v>9.2876161722011498E-15</v>
      </c>
      <c r="BS172" s="22">
        <f t="shared" si="169"/>
        <v>20.363900239386705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-2.5420376914553347E-13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410.71046306000068</v>
      </c>
      <c r="T173" s="59">
        <f t="shared" si="142"/>
        <v>430.43167430170087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42.947052809890337</v>
      </c>
      <c r="AA173" s="21">
        <f>EXP(-LN(2)/25)*AA172+(1-EXP(-LN(2)/25))/(LN(2)/25)*Calculateur!V173*Calculateur!X173*VLOOKUP('Données projet'!$B$9,Paramètres!$A$1:$I$89,3,0)*0.475*44/12</f>
        <v>3.5504425738459138</v>
      </c>
      <c r="AB173" s="21">
        <f>EXP(-LN(2)/2)*AB172+(1-EXP(-LN(2)/2))/(LN(2)/2)*V173*Y173*VLOOKUP('Données projet'!$B$9,Paramètres!$A$1:$I$89,3,0)*0.475*44/12</f>
        <v>7.1148094624714107E-15</v>
      </c>
      <c r="AC173" s="22">
        <f t="shared" si="163"/>
        <v>46.497495383736258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1.0049916454590858E-13</v>
      </c>
      <c r="AK173" s="13">
        <f t="shared" si="164"/>
        <v>1.5089081593838289E-12</v>
      </c>
      <c r="AL173" s="20">
        <f t="shared" si="165"/>
        <v>2.8030510891776262E-12</v>
      </c>
      <c r="AM173" s="59">
        <f t="shared" si="113"/>
        <v>293.3333333333361</v>
      </c>
      <c r="AN173" s="59">
        <f ca="1">AVERAGE(OFFSET($AM$3,0,0,'Données projet'!$E$10+1,1))-AVERAGE(OFFSET($H$3,0,0,'Données projet'!$E$10+1,1))</f>
        <v>343.36665824683809</v>
      </c>
      <c r="AO173" s="59">
        <f t="shared" si="144"/>
        <v>342.89042241858527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28.938183267381888</v>
      </c>
      <c r="AV173" s="21">
        <f>EXP(-LN(2)/25)*AV172+(1-EXP(-LN(2)/25))/(LN(2)/25)*Calculateur!AQ173*Calculateur!AS173*VLOOKUP('Données projet'!$B$10,Paramètres!$A$1:$I$89,3,0)*0.475*44/12</f>
        <v>4.7668307844967126</v>
      </c>
      <c r="AW173" s="21">
        <f>EXP(-LN(2)/2)*AW172+(1-EXP(-LN(2)/2))/(LN(2)/2)*AQ173*AT173*VLOOKUP('Données projet'!$B$10,Paramètres!$A$1:$I$89,3,0)*0.475*44/12</f>
        <v>1.2558819932823366E-14</v>
      </c>
      <c r="AX173" s="21">
        <f t="shared" si="166"/>
        <v>33.705014051878614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-3.1036506698001178E-14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191.96190073146369</v>
      </c>
      <c r="BJ173" s="59">
        <f t="shared" si="146"/>
        <v>224.0560835232115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16.798644949876017</v>
      </c>
      <c r="BQ173" s="21">
        <f>EXP(-LN(2)/25)*BQ172+(1-EXP(-LN(2)/25))/(LN(2)/25)*Calculateur!BL173*Calculateur!BN173*VLOOKUP('Données projet'!$B$11,Paramètres!$A$1:$I$89,3,0)*0.475*44/12</f>
        <v>3.1409511969321424</v>
      </c>
      <c r="BR173" s="21">
        <f>EXP(-LN(2)/2)*BR172+(1-EXP(-LN(2)/2))/(LN(2)/2)*BL173*BO173*VLOOKUP('Données projet'!$B$11,Paramètres!$A$1:$I$89,3,0)*0.475*44/12</f>
        <v>6.5673363764212787E-15</v>
      </c>
      <c r="BS173" s="22">
        <f t="shared" si="169"/>
        <v>19.939596146808167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-2.5420376914553347E-13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410.71046306000068</v>
      </c>
      <c r="T174" s="59">
        <f t="shared" si="142"/>
        <v>430.43167430170087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42.104887299404048</v>
      </c>
      <c r="AA174" s="21">
        <f>EXP(-LN(2)/25)*AA173+(1-EXP(-LN(2)/25))/(LN(2)/25)*Calculateur!V174*Calculateur!X174*VLOOKUP('Données projet'!$B$9,Paramètres!$A$1:$I$89,3,0)*0.475*44/12</f>
        <v>3.4533555349544369</v>
      </c>
      <c r="AB174" s="21">
        <f>EXP(-LN(2)/2)*AB173+(1-EXP(-LN(2)/2))/(LN(2)/2)*V174*Y174*VLOOKUP('Données projet'!$B$9,Paramètres!$A$1:$I$89,3,0)*0.475*44/12</f>
        <v>5.0309300177637496E-15</v>
      </c>
      <c r="AC174" s="22">
        <f t="shared" si="163"/>
        <v>45.558242834358495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1.0049916454590858E-13</v>
      </c>
      <c r="AK174" s="13">
        <f t="shared" si="164"/>
        <v>1.5089081593838289E-12</v>
      </c>
      <c r="AL174" s="20">
        <f t="shared" si="165"/>
        <v>2.8030510891776262E-12</v>
      </c>
      <c r="AM174" s="59">
        <f t="shared" si="113"/>
        <v>293.3333333333361</v>
      </c>
      <c r="AN174" s="59">
        <f ca="1">AVERAGE(OFFSET($AM$3,0,0,'Données projet'!$E$10+1,1))-AVERAGE(OFFSET($H$3,0,0,'Données projet'!$E$10+1,1))</f>
        <v>343.36665824683809</v>
      </c>
      <c r="AO174" s="59">
        <f t="shared" si="144"/>
        <v>342.89042241858527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28.370723144057475</v>
      </c>
      <c r="AV174" s="21">
        <f>EXP(-LN(2)/25)*AV173+(1-EXP(-LN(2)/25))/(LN(2)/25)*Calculateur!AQ174*Calculateur!AS174*VLOOKUP('Données projet'!$B$10,Paramètres!$A$1:$I$89,3,0)*0.475*44/12</f>
        <v>4.6364815460179134</v>
      </c>
      <c r="AW174" s="21">
        <f>EXP(-LN(2)/2)*AW173+(1-EXP(-LN(2)/2))/(LN(2)/2)*AQ174*AT174*VLOOKUP('Données projet'!$B$10,Paramètres!$A$1:$I$89,3,0)*0.475*44/12</f>
        <v>8.8804267382001835E-15</v>
      </c>
      <c r="AX174" s="21">
        <f t="shared" si="166"/>
        <v>33.007204690075397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-3.1036506698001178E-14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191.96190073146369</v>
      </c>
      <c r="BJ174" s="59">
        <f t="shared" si="146"/>
        <v>224.0560835232115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16.469233768570643</v>
      </c>
      <c r="BQ174" s="21">
        <f>EXP(-LN(2)/25)*BQ173+(1-EXP(-LN(2)/25))/(LN(2)/25)*Calculateur!BL174*Calculateur!BN174*VLOOKUP('Données projet'!$B$11,Paramètres!$A$1:$I$89,3,0)*0.475*44/12</f>
        <v>3.0550617212765885</v>
      </c>
      <c r="BR174" s="21">
        <f>EXP(-LN(2)/2)*BR173+(1-EXP(-LN(2)/2))/(LN(2)/2)*BL174*BO174*VLOOKUP('Données projet'!$B$11,Paramètres!$A$1:$I$89,3,0)*0.475*44/12</f>
        <v>4.6438080861005749E-15</v>
      </c>
      <c r="BS174" s="22">
        <f t="shared" si="169"/>
        <v>19.524295489847233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-2.5420376914553347E-13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410.71046306000068</v>
      </c>
      <c r="T175" s="59">
        <f t="shared" si="142"/>
        <v>430.43167430170087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41.279236140908154</v>
      </c>
      <c r="AA175" s="21">
        <f>EXP(-LN(2)/25)*AA174+(1-EXP(-LN(2)/25))/(LN(2)/25)*Calculateur!V175*Calculateur!X175*VLOOKUP('Données projet'!$B$9,Paramètres!$A$1:$I$89,3,0)*0.475*44/12</f>
        <v>3.3589233462470331</v>
      </c>
      <c r="AB175" s="21">
        <f>EXP(-LN(2)/2)*AB174+(1-EXP(-LN(2)/2))/(LN(2)/2)*V175*Y175*VLOOKUP('Données projet'!$B$9,Paramètres!$A$1:$I$89,3,0)*0.475*44/12</f>
        <v>3.5574047312357054E-15</v>
      </c>
      <c r="AC175" s="22">
        <f t="shared" si="163"/>
        <v>44.638159487155193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1.0049916454590858E-13</v>
      </c>
      <c r="AK175" s="13">
        <f t="shared" si="164"/>
        <v>1.5089081593838289E-12</v>
      </c>
      <c r="AL175" s="20">
        <f t="shared" si="165"/>
        <v>2.8030510891776262E-12</v>
      </c>
      <c r="AM175" s="59">
        <f t="shared" si="113"/>
        <v>293.3333333333361</v>
      </c>
      <c r="AN175" s="59">
        <f ca="1">AVERAGE(OFFSET($AM$3,0,0,'Données projet'!$E$10+1,1))-AVERAGE(OFFSET($H$3,0,0,'Données projet'!$E$10+1,1))</f>
        <v>343.36665824683809</v>
      </c>
      <c r="AO175" s="59">
        <f t="shared" si="144"/>
        <v>342.89042241858527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27.814390567634955</v>
      </c>
      <c r="AV175" s="21">
        <f>EXP(-LN(2)/25)*AV174+(1-EXP(-LN(2)/25))/(LN(2)/25)*Calculateur!AQ175*Calculateur!AS175*VLOOKUP('Données projet'!$B$10,Paramètres!$A$1:$I$89,3,0)*0.475*44/12</f>
        <v>4.5096967143200857</v>
      </c>
      <c r="AW175" s="21">
        <f>EXP(-LN(2)/2)*AW174+(1-EXP(-LN(2)/2))/(LN(2)/2)*AQ175*AT175*VLOOKUP('Données projet'!$B$10,Paramètres!$A$1:$I$89,3,0)*0.475*44/12</f>
        <v>6.2794099664116832E-15</v>
      </c>
      <c r="AX175" s="21">
        <f t="shared" si="166"/>
        <v>32.324087281955052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-3.1036506698001178E-14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191.96190073146369</v>
      </c>
      <c r="BJ175" s="59">
        <f t="shared" si="146"/>
        <v>224.0560835232115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16.146282139609685</v>
      </c>
      <c r="BQ175" s="21">
        <f>EXP(-LN(2)/25)*BQ174+(1-EXP(-LN(2)/25))/(LN(2)/25)*Calculateur!BL175*Calculateur!BN175*VLOOKUP('Données projet'!$B$11,Paramètres!$A$1:$I$89,3,0)*0.475*44/12</f>
        <v>2.9715208978495666</v>
      </c>
      <c r="BR175" s="21">
        <f>EXP(-LN(2)/2)*BR174+(1-EXP(-LN(2)/2))/(LN(2)/2)*BL175*BO175*VLOOKUP('Données projet'!$B$11,Paramètres!$A$1:$I$89,3,0)*0.475*44/12</f>
        <v>3.2836681882106393E-15</v>
      </c>
      <c r="BS175" s="22">
        <f t="shared" si="169"/>
        <v>19.117803037459254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-2.5420376914553347E-13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410.71046306000068</v>
      </c>
      <c r="T176" s="59">
        <f t="shared" si="142"/>
        <v>430.43167430170087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40.469775498032888</v>
      </c>
      <c r="AA176" s="21">
        <f>EXP(-LN(2)/25)*AA175+(1-EXP(-LN(2)/25))/(LN(2)/25)*Calculateur!V176*Calculateur!X176*VLOOKUP('Données projet'!$B$9,Paramètres!$A$1:$I$89,3,0)*0.475*44/12</f>
        <v>3.2670734107058061</v>
      </c>
      <c r="AB176" s="21">
        <f>EXP(-LN(2)/2)*AB175+(1-EXP(-LN(2)/2))/(LN(2)/2)*V176*Y176*VLOOKUP('Données projet'!$B$9,Paramètres!$A$1:$I$89,3,0)*0.475*44/12</f>
        <v>2.5154650088818748E-15</v>
      </c>
      <c r="AC176" s="22">
        <f t="shared" si="163"/>
        <v>43.736848908738693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1.0049916454590858E-13</v>
      </c>
      <c r="AK176" s="13">
        <f t="shared" si="164"/>
        <v>1.5089081593838289E-12</v>
      </c>
      <c r="AL176" s="20">
        <f t="shared" si="165"/>
        <v>2.8030510891776262E-12</v>
      </c>
      <c r="AM176" s="59">
        <f t="shared" si="113"/>
        <v>293.3333333333361</v>
      </c>
      <c r="AN176" s="59">
        <f ca="1">AVERAGE(OFFSET($AM$3,0,0,'Données projet'!$E$10+1,1))-AVERAGE(OFFSET($H$3,0,0,'Données projet'!$E$10+1,1))</f>
        <v>343.36665824683809</v>
      </c>
      <c r="AO176" s="59">
        <f t="shared" si="144"/>
        <v>342.89042241858527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27.268967333706716</v>
      </c>
      <c r="AV176" s="21">
        <f>EXP(-LN(2)/25)*AV175+(1-EXP(-LN(2)/25))/(LN(2)/25)*Calculateur!AQ176*Calculateur!AS176*VLOOKUP('Données projet'!$B$10,Paramètres!$A$1:$I$89,3,0)*0.475*44/12</f>
        <v>4.3863788205123599</v>
      </c>
      <c r="AW176" s="21">
        <f>EXP(-LN(2)/2)*AW175+(1-EXP(-LN(2)/2))/(LN(2)/2)*AQ176*AT176*VLOOKUP('Données projet'!$B$10,Paramètres!$A$1:$I$89,3,0)*0.475*44/12</f>
        <v>4.4402133691000917E-15</v>
      </c>
      <c r="AX176" s="21">
        <f t="shared" si="166"/>
        <v>31.655346154219078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-3.1036506698001178E-14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191.96190073146369</v>
      </c>
      <c r="BJ176" s="59">
        <f t="shared" si="146"/>
        <v>224.0560835232115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15.829663395111609</v>
      </c>
      <c r="BQ176" s="21">
        <f>EXP(-LN(2)/25)*BQ175+(1-EXP(-LN(2)/25))/(LN(2)/25)*Calculateur!BL176*Calculateur!BN176*VLOOKUP('Données projet'!$B$11,Paramètres!$A$1:$I$89,3,0)*0.475*44/12</f>
        <v>2.8902645026323777</v>
      </c>
      <c r="BR176" s="21">
        <f>EXP(-LN(2)/2)*BR175+(1-EXP(-LN(2)/2))/(LN(2)/2)*BL176*BO176*VLOOKUP('Données projet'!$B$11,Paramètres!$A$1:$I$89,3,0)*0.475*44/12</f>
        <v>2.3219040430502875E-15</v>
      </c>
      <c r="BS176" s="22">
        <f t="shared" si="169"/>
        <v>18.71992789774399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-2.5420376914553347E-13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410.71046306000068</v>
      </c>
      <c r="T177" s="59">
        <f t="shared" si="142"/>
        <v>430.43167430170087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39.676187884642161</v>
      </c>
      <c r="AA177" s="21">
        <f>EXP(-LN(2)/25)*AA176+(1-EXP(-LN(2)/25))/(LN(2)/25)*Calculateur!V177*Calculateur!X177*VLOOKUP('Données projet'!$B$9,Paramètres!$A$1:$I$89,3,0)*0.475*44/12</f>
        <v>3.1777351164821321</v>
      </c>
      <c r="AB177" s="21">
        <f>EXP(-LN(2)/2)*AB176+(1-EXP(-LN(2)/2))/(LN(2)/2)*V177*Y177*VLOOKUP('Données projet'!$B$9,Paramètres!$A$1:$I$89,3,0)*0.475*44/12</f>
        <v>1.7787023656178527E-15</v>
      </c>
      <c r="AC177" s="22">
        <f t="shared" si="163"/>
        <v>42.853923001124294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1.0049916454590858E-13</v>
      </c>
      <c r="AK177" s="13">
        <f t="shared" si="164"/>
        <v>1.5089081593838289E-12</v>
      </c>
      <c r="AL177" s="20">
        <f t="shared" si="165"/>
        <v>2.8030510891776262E-12</v>
      </c>
      <c r="AM177" s="59">
        <f t="shared" si="113"/>
        <v>293.3333333333361</v>
      </c>
      <c r="AN177" s="59">
        <f ca="1">AVERAGE(OFFSET($AM$3,0,0,'Données projet'!$E$10+1,1))-AVERAGE(OFFSET($H$3,0,0,'Données projet'!$E$10+1,1))</f>
        <v>343.36665824683809</v>
      </c>
      <c r="AO177" s="59">
        <f t="shared" si="144"/>
        <v>342.89042241858527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26.734239516720486</v>
      </c>
      <c r="AV177" s="21">
        <f>EXP(-LN(2)/25)*AV176+(1-EXP(-LN(2)/25))/(LN(2)/25)*Calculateur!AQ177*Calculateur!AS177*VLOOKUP('Données projet'!$B$10,Paramètres!$A$1:$I$89,3,0)*0.475*44/12</f>
        <v>4.2664330609958121</v>
      </c>
      <c r="AW177" s="21">
        <f>EXP(-LN(2)/2)*AW176+(1-EXP(-LN(2)/2))/(LN(2)/2)*AQ177*AT177*VLOOKUP('Données projet'!$B$10,Paramètres!$A$1:$I$89,3,0)*0.475*44/12</f>
        <v>3.1397049832058416E-15</v>
      </c>
      <c r="AX177" s="21">
        <f t="shared" si="166"/>
        <v>31.000672577716301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-3.1036506698001178E-14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191.96190073146369</v>
      </c>
      <c r="BJ177" s="59">
        <f t="shared" si="146"/>
        <v>224.0560835232115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15.519253351074775</v>
      </c>
      <c r="BQ177" s="21">
        <f>EXP(-LN(2)/25)*BQ176+(1-EXP(-LN(2)/25))/(LN(2)/25)*Calculateur!BL177*Calculateur!BN177*VLOOKUP('Données projet'!$B$11,Paramètres!$A$1:$I$89,3,0)*0.475*44/12</f>
        <v>2.8112300678154907</v>
      </c>
      <c r="BR177" s="21">
        <f>EXP(-LN(2)/2)*BR176+(1-EXP(-LN(2)/2))/(LN(2)/2)*BL177*BO177*VLOOKUP('Données projet'!$B$11,Paramètres!$A$1:$I$89,3,0)*0.475*44/12</f>
        <v>1.6418340941053197E-15</v>
      </c>
      <c r="BS177" s="22">
        <f t="shared" si="169"/>
        <v>18.330483418890267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-2.5420376914553347E-13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410.71046306000068</v>
      </c>
      <c r="T178" s="59">
        <f t="shared" si="142"/>
        <v>430.43167430170087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38.89816204030938</v>
      </c>
      <c r="AA178" s="21">
        <f>EXP(-LN(2)/25)*AA177+(1-EXP(-LN(2)/25))/(LN(2)/25)*Calculateur!V178*Calculateur!X178*VLOOKUP('Données projet'!$B$9,Paramètres!$A$1:$I$89,3,0)*0.475*44/12</f>
        <v>3.0908397826121012</v>
      </c>
      <c r="AB178" s="21">
        <f>EXP(-LN(2)/2)*AB177+(1-EXP(-LN(2)/2))/(LN(2)/2)*V178*Y178*VLOOKUP('Données projet'!$B$9,Paramètres!$A$1:$I$89,3,0)*0.475*44/12</f>
        <v>1.2577325044409374E-15</v>
      </c>
      <c r="AC178" s="22">
        <f t="shared" si="163"/>
        <v>41.98900182292148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1.0049916454590858E-13</v>
      </c>
      <c r="AK178" s="13">
        <f t="shared" si="164"/>
        <v>1.5089081593838289E-12</v>
      </c>
      <c r="AL178" s="20">
        <f t="shared" si="165"/>
        <v>2.8030510891776262E-12</v>
      </c>
      <c r="AM178" s="59">
        <f t="shared" si="113"/>
        <v>293.3333333333361</v>
      </c>
      <c r="AN178" s="59">
        <f ca="1">AVERAGE(OFFSET($AM$3,0,0,'Données projet'!$E$10+1,1))-AVERAGE(OFFSET($H$3,0,0,'Données projet'!$E$10+1,1))</f>
        <v>343.36665824683809</v>
      </c>
      <c r="AO178" s="59">
        <f t="shared" si="144"/>
        <v>342.89042241858527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26.209997386073592</v>
      </c>
      <c r="AV178" s="21">
        <f>EXP(-LN(2)/25)*AV177+(1-EXP(-LN(2)/25))/(LN(2)/25)*Calculateur!AQ178*Calculateur!AS178*VLOOKUP('Données projet'!$B$10,Paramètres!$A$1:$I$89,3,0)*0.475*44/12</f>
        <v>4.1497672245809181</v>
      </c>
      <c r="AW178" s="21">
        <f>EXP(-LN(2)/2)*AW177+(1-EXP(-LN(2)/2))/(LN(2)/2)*AQ178*AT178*VLOOKUP('Données projet'!$B$10,Paramètres!$A$1:$I$89,3,0)*0.475*44/12</f>
        <v>2.2201066845500459E-15</v>
      </c>
      <c r="AX178" s="21">
        <f t="shared" si="166"/>
        <v>30.359764610654512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-3.1036506698001178E-14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191.96190073146369</v>
      </c>
      <c r="BJ178" s="59">
        <f t="shared" si="146"/>
        <v>224.0560835232115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15.214930258670073</v>
      </c>
      <c r="BQ178" s="21">
        <f>EXP(-LN(2)/25)*BQ177+(1-EXP(-LN(2)/25))/(LN(2)/25)*Calculateur!BL178*Calculateur!BN178*VLOOKUP('Données projet'!$B$11,Paramètres!$A$1:$I$89,3,0)*0.475*44/12</f>
        <v>2.7343568337749118</v>
      </c>
      <c r="BR178" s="21">
        <f>EXP(-LN(2)/2)*BR177+(1-EXP(-LN(2)/2))/(LN(2)/2)*BL178*BO178*VLOOKUP('Données projet'!$B$11,Paramètres!$A$1:$I$89,3,0)*0.475*44/12</f>
        <v>1.1609520215251437E-15</v>
      </c>
      <c r="BS178" s="22">
        <f t="shared" si="169"/>
        <v>17.949287092444983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-2.5420376914553347E-13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410.71046306000068</v>
      </c>
      <c r="T179" s="59">
        <f t="shared" si="142"/>
        <v>430.43167430170087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38.135392808235054</v>
      </c>
      <c r="AA179" s="21">
        <f>EXP(-LN(2)/25)*AA178+(1-EXP(-LN(2)/25))/(LN(2)/25)*Calculateur!V179*Calculateur!X179*VLOOKUP('Données projet'!$B$9,Paramètres!$A$1:$I$89,3,0)*0.475*44/12</f>
        <v>3.0063206062163732</v>
      </c>
      <c r="AB179" s="21">
        <f>EXP(-LN(2)/2)*AB178+(1-EXP(-LN(2)/2))/(LN(2)/2)*V179*Y179*VLOOKUP('Données projet'!$B$9,Paramètres!$A$1:$I$89,3,0)*0.475*44/12</f>
        <v>8.8935118280892634E-16</v>
      </c>
      <c r="AC179" s="22">
        <f t="shared" si="163"/>
        <v>41.141713414451424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1.0049916454590858E-13</v>
      </c>
      <c r="AK179" s="13">
        <f t="shared" si="164"/>
        <v>1.5089081593838289E-12</v>
      </c>
      <c r="AL179" s="20">
        <f t="shared" si="165"/>
        <v>2.8030510891776262E-12</v>
      </c>
      <c r="AM179" s="59">
        <f t="shared" si="113"/>
        <v>293.3333333333361</v>
      </c>
      <c r="AN179" s="59">
        <f ca="1">AVERAGE(OFFSET($AM$3,0,0,'Données projet'!$E$10+1,1))-AVERAGE(OFFSET($H$3,0,0,'Données projet'!$E$10+1,1))</f>
        <v>343.36665824683809</v>
      </c>
      <c r="AO179" s="59">
        <f t="shared" si="144"/>
        <v>342.89042241858527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25.696035323852556</v>
      </c>
      <c r="AV179" s="21">
        <f>EXP(-LN(2)/25)*AV178+(1-EXP(-LN(2)/25))/(LN(2)/25)*Calculateur!AQ179*Calculateur!AS179*VLOOKUP('Données projet'!$B$10,Paramètres!$A$1:$I$89,3,0)*0.475*44/12</f>
        <v>4.0362916215979787</v>
      </c>
      <c r="AW179" s="21">
        <f>EXP(-LN(2)/2)*AW178+(1-EXP(-LN(2)/2))/(LN(2)/2)*AQ179*AT179*VLOOKUP('Données projet'!$B$10,Paramètres!$A$1:$I$89,3,0)*0.475*44/12</f>
        <v>1.5698524916029208E-15</v>
      </c>
      <c r="AX179" s="21">
        <f t="shared" si="166"/>
        <v>29.732326945450534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-3.1036506698001178E-14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191.96190073146369</v>
      </c>
      <c r="BJ179" s="59">
        <f t="shared" si="146"/>
        <v>224.0560835232115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14.916574756488668</v>
      </c>
      <c r="BQ179" s="21">
        <f>EXP(-LN(2)/25)*BQ178+(1-EXP(-LN(2)/25))/(LN(2)/25)*Calculateur!BL179*Calculateur!BN179*VLOOKUP('Données projet'!$B$11,Paramètres!$A$1:$I$89,3,0)*0.475*44/12</f>
        <v>2.6595857023617602</v>
      </c>
      <c r="BR179" s="21">
        <f>EXP(-LN(2)/2)*BR178+(1-EXP(-LN(2)/2))/(LN(2)/2)*BL179*BO179*VLOOKUP('Données projet'!$B$11,Paramètres!$A$1:$I$89,3,0)*0.475*44/12</f>
        <v>8.2091704705265983E-16</v>
      </c>
      <c r="BS179" s="22">
        <f t="shared" si="169"/>
        <v>17.576160458850428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-2.5420376914553347E-13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410.71046306000068</v>
      </c>
      <c r="T180" s="59">
        <f t="shared" si="142"/>
        <v>430.43167430170087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37.387581015558411</v>
      </c>
      <c r="AA180" s="21">
        <f>EXP(-LN(2)/25)*AA179+(1-EXP(-LN(2)/25))/(LN(2)/25)*Calculateur!V180*Calculateur!X180*VLOOKUP('Données projet'!$B$9,Paramètres!$A$1:$I$89,3,0)*0.475*44/12</f>
        <v>2.9241126111438569</v>
      </c>
      <c r="AB180" s="21">
        <f>EXP(-LN(2)/2)*AB179+(1-EXP(-LN(2)/2))/(LN(2)/2)*V180*Y180*VLOOKUP('Données projet'!$B$9,Paramètres!$A$1:$I$89,3,0)*0.475*44/12</f>
        <v>6.288662522204687E-16</v>
      </c>
      <c r="AC180" s="22">
        <f t="shared" si="163"/>
        <v>40.311693626702265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1.0049916454590858E-13</v>
      </c>
      <c r="AK180" s="13">
        <f t="shared" si="164"/>
        <v>1.5089081593838289E-12</v>
      </c>
      <c r="AL180" s="20">
        <f t="shared" si="165"/>
        <v>2.8030510891776262E-12</v>
      </c>
      <c r="AM180" s="59">
        <f t="shared" si="113"/>
        <v>293.3333333333361</v>
      </c>
      <c r="AN180" s="59">
        <f ca="1">AVERAGE(OFFSET($AM$3,0,0,'Données projet'!$E$10+1,1))-AVERAGE(OFFSET($H$3,0,0,'Données projet'!$E$10+1,1))</f>
        <v>343.36665824683809</v>
      </c>
      <c r="AO180" s="59">
        <f t="shared" si="144"/>
        <v>342.89042241858527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25.192151744185772</v>
      </c>
      <c r="AV180" s="21">
        <f>EXP(-LN(2)/25)*AV179+(1-EXP(-LN(2)/25))/(LN(2)/25)*Calculateur!AQ180*Calculateur!AS180*VLOOKUP('Données projet'!$B$10,Paramètres!$A$1:$I$89,3,0)*0.475*44/12</f>
        <v>3.9259190149460306</v>
      </c>
      <c r="AW180" s="21">
        <f>EXP(-LN(2)/2)*AW179+(1-EXP(-LN(2)/2))/(LN(2)/2)*AQ180*AT180*VLOOKUP('Données projet'!$B$10,Paramètres!$A$1:$I$89,3,0)*0.475*44/12</f>
        <v>1.1100533422750229E-15</v>
      </c>
      <c r="AX180" s="21">
        <f t="shared" si="166"/>
        <v>29.118070759131804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-3.1036506698001178E-14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191.96190073146369</v>
      </c>
      <c r="BJ180" s="59">
        <f t="shared" si="146"/>
        <v>224.0560835232115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14.624069823726153</v>
      </c>
      <c r="BQ180" s="21">
        <f>EXP(-LN(2)/25)*BQ179+(1-EXP(-LN(2)/25))/(LN(2)/25)*Calculateur!BL180*Calculateur!BN180*VLOOKUP('Données projet'!$B$11,Paramètres!$A$1:$I$89,3,0)*0.475*44/12</f>
        <v>2.5868591914691441</v>
      </c>
      <c r="BR180" s="21">
        <f>EXP(-LN(2)/2)*BR179+(1-EXP(-LN(2)/2))/(LN(2)/2)*BL180*BO180*VLOOKUP('Données projet'!$B$11,Paramètres!$A$1:$I$89,3,0)*0.475*44/12</f>
        <v>5.8047601076257187E-16</v>
      </c>
      <c r="BS180" s="22">
        <f t="shared" si="169"/>
        <v>17.210929015195298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-2.5420376914553347E-13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410.71046306000068</v>
      </c>
      <c r="T181" s="59">
        <f t="shared" si="142"/>
        <v>430.43167430170087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36.654433356016007</v>
      </c>
      <c r="AA181" s="21">
        <f>EXP(-LN(2)/25)*AA180+(1-EXP(-LN(2)/25))/(LN(2)/25)*Calculateur!V181*Calculateur!X181*VLOOKUP('Données projet'!$B$9,Paramètres!$A$1:$I$89,3,0)*0.475*44/12</f>
        <v>2.8441525980197291</v>
      </c>
      <c r="AB181" s="21">
        <f>EXP(-LN(2)/2)*AB180+(1-EXP(-LN(2)/2))/(LN(2)/2)*V181*Y181*VLOOKUP('Données projet'!$B$9,Paramètres!$A$1:$I$89,3,0)*0.475*44/12</f>
        <v>4.4467559140446317E-16</v>
      </c>
      <c r="AC181" s="22">
        <f t="shared" si="163"/>
        <v>39.498585954035732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1.0049916454590858E-13</v>
      </c>
      <c r="AK181" s="13">
        <f t="shared" si="164"/>
        <v>1.5089081593838289E-12</v>
      </c>
      <c r="AL181" s="20">
        <f t="shared" si="165"/>
        <v>2.8030510891776262E-12</v>
      </c>
      <c r="AM181" s="59">
        <f t="shared" si="113"/>
        <v>293.3333333333361</v>
      </c>
      <c r="AN181" s="59">
        <f ca="1">AVERAGE(OFFSET($AM$3,0,0,'Données projet'!$E$10+1,1))-AVERAGE(OFFSET($H$3,0,0,'Données projet'!$E$10+1,1))</f>
        <v>343.36665824683809</v>
      </c>
      <c r="AO181" s="59">
        <f t="shared" si="144"/>
        <v>342.89042241858527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24.698149014177616</v>
      </c>
      <c r="AV181" s="21">
        <f>EXP(-LN(2)/25)*AV180+(1-EXP(-LN(2)/25))/(LN(2)/25)*Calculateur!AQ181*Calculateur!AS181*VLOOKUP('Données projet'!$B$10,Paramètres!$A$1:$I$89,3,0)*0.475*44/12</f>
        <v>3.818564553027223</v>
      </c>
      <c r="AW181" s="21">
        <f>EXP(-LN(2)/2)*AW180+(1-EXP(-LN(2)/2))/(LN(2)/2)*AQ181*AT181*VLOOKUP('Données projet'!$B$10,Paramètres!$A$1:$I$89,3,0)*0.475*44/12</f>
        <v>7.849262458014604E-16</v>
      </c>
      <c r="AX181" s="21">
        <f t="shared" si="166"/>
        <v>28.516713567204839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-3.1036506698001178E-14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191.96190073146369</v>
      </c>
      <c r="BJ181" s="59">
        <f t="shared" si="146"/>
        <v>224.0560835232115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14.337300734284717</v>
      </c>
      <c r="BQ181" s="21">
        <f>EXP(-LN(2)/25)*BQ180+(1-EXP(-LN(2)/25))/(LN(2)/25)*Calculateur!BL181*Calculateur!BN181*VLOOKUP('Données projet'!$B$11,Paramètres!$A$1:$I$89,3,0)*0.475*44/12</f>
        <v>2.5161213908414077</v>
      </c>
      <c r="BR181" s="21">
        <f>EXP(-LN(2)/2)*BR180+(1-EXP(-LN(2)/2))/(LN(2)/2)*BL181*BO181*VLOOKUP('Données projet'!$B$11,Paramètres!$A$1:$I$89,3,0)*0.475*44/12</f>
        <v>4.1045852352632992E-16</v>
      </c>
      <c r="BS181" s="22">
        <f t="shared" si="169"/>
        <v>16.853422125126126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-2.5420376914553347E-13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410.71046306000068</v>
      </c>
      <c r="T182" s="59">
        <f t="shared" si="142"/>
        <v>430.43167430170087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35.935662274901311</v>
      </c>
      <c r="AA182" s="21">
        <f>EXP(-LN(2)/25)*AA181+(1-EXP(-LN(2)/25))/(LN(2)/25)*Calculateur!V182*Calculateur!X182*VLOOKUP('Données projet'!$B$9,Paramètres!$A$1:$I$89,3,0)*0.475*44/12</f>
        <v>2.7663790956593948</v>
      </c>
      <c r="AB182" s="21">
        <f>EXP(-LN(2)/2)*AB181+(1-EXP(-LN(2)/2))/(LN(2)/2)*V182*Y182*VLOOKUP('Données projet'!$B$9,Paramètres!$A$1:$I$89,3,0)*0.475*44/12</f>
        <v>3.1443312611023435E-16</v>
      </c>
      <c r="AC182" s="22">
        <f t="shared" si="163"/>
        <v>38.702041370560707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1.0049916454590858E-13</v>
      </c>
      <c r="AK182" s="13">
        <f t="shared" si="164"/>
        <v>1.5089081593838289E-12</v>
      </c>
      <c r="AL182" s="20">
        <f t="shared" si="165"/>
        <v>2.8030510891776262E-12</v>
      </c>
      <c r="AM182" s="59">
        <f t="shared" si="113"/>
        <v>293.3333333333361</v>
      </c>
      <c r="AN182" s="59">
        <f ca="1">AVERAGE(OFFSET($AM$3,0,0,'Données projet'!$E$10+1,1))-AVERAGE(OFFSET($H$3,0,0,'Données projet'!$E$10+1,1))</f>
        <v>343.36665824683809</v>
      </c>
      <c r="AO182" s="59">
        <f t="shared" si="144"/>
        <v>342.89042241858527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24.213833376393008</v>
      </c>
      <c r="AV182" s="21">
        <f>EXP(-LN(2)/25)*AV181+(1-EXP(-LN(2)/25))/(LN(2)/25)*Calculateur!AQ182*Calculateur!AS182*VLOOKUP('Données projet'!$B$10,Paramètres!$A$1:$I$89,3,0)*0.475*44/12</f>
        <v>3.7141457045151109</v>
      </c>
      <c r="AW182" s="21">
        <f>EXP(-LN(2)/2)*AW181+(1-EXP(-LN(2)/2))/(LN(2)/2)*AQ182*AT182*VLOOKUP('Données projet'!$B$10,Paramètres!$A$1:$I$89,3,0)*0.475*44/12</f>
        <v>5.5502667113751147E-16</v>
      </c>
      <c r="AX182" s="21">
        <f t="shared" si="166"/>
        <v>27.92797908090812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-3.1036506698001178E-14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191.96190073146369</v>
      </c>
      <c r="BJ182" s="59">
        <f t="shared" si="146"/>
        <v>224.0560835232115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14.056155011775356</v>
      </c>
      <c r="BQ182" s="21">
        <f>EXP(-LN(2)/25)*BQ181+(1-EXP(-LN(2)/25))/(LN(2)/25)*Calculateur!BL182*Calculateur!BN182*VLOOKUP('Données projet'!$B$11,Paramètres!$A$1:$I$89,3,0)*0.475*44/12</f>
        <v>2.447317919091776</v>
      </c>
      <c r="BR182" s="21">
        <f>EXP(-LN(2)/2)*BR181+(1-EXP(-LN(2)/2))/(LN(2)/2)*BL182*BO182*VLOOKUP('Données projet'!$B$11,Paramètres!$A$1:$I$89,3,0)*0.475*44/12</f>
        <v>2.9023800538128593E-16</v>
      </c>
      <c r="BS182" s="22">
        <f t="shared" si="169"/>
        <v>16.503472930867133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-2.5420376914553347E-13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410.71046306000068</v>
      </c>
      <c r="T183" s="59">
        <f t="shared" si="142"/>
        <v>430.43167430170087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35.230985856280206</v>
      </c>
      <c r="AA183" s="21">
        <f>EXP(-LN(2)/25)*AA182+(1-EXP(-LN(2)/25))/(LN(2)/25)*Calculateur!V183*Calculateur!X183*VLOOKUP('Données projet'!$B$9,Paramètres!$A$1:$I$89,3,0)*0.475*44/12</f>
        <v>2.6907323138110346</v>
      </c>
      <c r="AB183" s="21">
        <f>EXP(-LN(2)/2)*AB182+(1-EXP(-LN(2)/2))/(LN(2)/2)*V183*Y183*VLOOKUP('Données projet'!$B$9,Paramètres!$A$1:$I$89,3,0)*0.475*44/12</f>
        <v>2.2233779570223159E-16</v>
      </c>
      <c r="AC183" s="22">
        <f t="shared" si="163"/>
        <v>37.921718170091239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1.0049916454590858E-13</v>
      </c>
      <c r="AK183" s="13">
        <f t="shared" si="164"/>
        <v>1.5089081593838289E-12</v>
      </c>
      <c r="AL183" s="20">
        <f t="shared" si="165"/>
        <v>2.8030510891776262E-12</v>
      </c>
      <c r="AM183" s="59">
        <f t="shared" si="113"/>
        <v>293.3333333333361</v>
      </c>
      <c r="AN183" s="59">
        <f ca="1">AVERAGE(OFFSET($AM$3,0,0,'Données projet'!$E$10+1,1))-AVERAGE(OFFSET($H$3,0,0,'Données projet'!$E$10+1,1))</f>
        <v>343.36665824683809</v>
      </c>
      <c r="AO183" s="59">
        <f t="shared" si="144"/>
        <v>342.89042241858527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23.739014872861986</v>
      </c>
      <c r="AV183" s="21">
        <f>EXP(-LN(2)/25)*AV182+(1-EXP(-LN(2)/25))/(LN(2)/25)*Calculateur!AQ183*Calculateur!AS183*VLOOKUP('Données projet'!$B$10,Paramètres!$A$1:$I$89,3,0)*0.475*44/12</f>
        <v>3.6125821949067114</v>
      </c>
      <c r="AW183" s="21">
        <f>EXP(-LN(2)/2)*AW182+(1-EXP(-LN(2)/2))/(LN(2)/2)*AQ183*AT183*VLOOKUP('Données projet'!$B$10,Paramètres!$A$1:$I$89,3,0)*0.475*44/12</f>
        <v>3.924631229007302E-16</v>
      </c>
      <c r="AX183" s="21">
        <f t="shared" si="166"/>
        <v>27.351597067768697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-3.1036506698001178E-14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191.96190073146369</v>
      </c>
      <c r="BJ183" s="59">
        <f t="shared" si="146"/>
        <v>224.0560835232115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13.780522385402445</v>
      </c>
      <c r="BQ183" s="21">
        <f>EXP(-LN(2)/25)*BQ182+(1-EXP(-LN(2)/25))/(LN(2)/25)*Calculateur!BL183*Calculateur!BN183*VLOOKUP('Données projet'!$B$11,Paramètres!$A$1:$I$89,3,0)*0.475*44/12</f>
        <v>2.3803958818953554</v>
      </c>
      <c r="BR183" s="21">
        <f>EXP(-LN(2)/2)*BR182+(1-EXP(-LN(2)/2))/(LN(2)/2)*BL183*BO183*VLOOKUP('Données projet'!$B$11,Paramètres!$A$1:$I$89,3,0)*0.475*44/12</f>
        <v>2.0522926176316496E-16</v>
      </c>
      <c r="BS183" s="22">
        <f t="shared" si="169"/>
        <v>16.160918267297802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-2.5420376914553347E-13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410.71046306000068</v>
      </c>
      <c r="T184" s="59">
        <f t="shared" si="142"/>
        <v>430.43167430170087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34.540127712418084</v>
      </c>
      <c r="AA184" s="21">
        <f>EXP(-LN(2)/25)*AA183+(1-EXP(-LN(2)/25))/(LN(2)/25)*Calculateur!V184*Calculateur!X184*VLOOKUP('Données projet'!$B$9,Paramètres!$A$1:$I$89,3,0)*0.475*44/12</f>
        <v>2.6171540971904093</v>
      </c>
      <c r="AB184" s="21">
        <f>EXP(-LN(2)/2)*AB183+(1-EXP(-LN(2)/2))/(LN(2)/2)*V184*Y184*VLOOKUP('Données projet'!$B$9,Paramètres!$A$1:$I$89,3,0)*0.475*44/12</f>
        <v>1.5721656305511718E-16</v>
      </c>
      <c r="AC184" s="22">
        <f t="shared" si="163"/>
        <v>37.157281809608492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1.0049916454590858E-13</v>
      </c>
      <c r="AK184" s="13">
        <f t="shared" si="164"/>
        <v>1.5089081593838289E-12</v>
      </c>
      <c r="AL184" s="20">
        <f t="shared" si="165"/>
        <v>2.8030510891776262E-12</v>
      </c>
      <c r="AM184" s="59">
        <f t="shared" si="113"/>
        <v>293.3333333333361</v>
      </c>
      <c r="AN184" s="59">
        <f ca="1">AVERAGE(OFFSET($AM$3,0,0,'Données projet'!$E$10+1,1))-AVERAGE(OFFSET($H$3,0,0,'Données projet'!$E$10+1,1))</f>
        <v>343.36665824683809</v>
      </c>
      <c r="AO184" s="59">
        <f t="shared" si="144"/>
        <v>342.89042241858527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23.273507270574516</v>
      </c>
      <c r="AV184" s="21">
        <f>EXP(-LN(2)/25)*AV183+(1-EXP(-LN(2)/25))/(LN(2)/25)*Calculateur!AQ184*Calculateur!AS184*VLOOKUP('Données projet'!$B$10,Paramètres!$A$1:$I$89,3,0)*0.475*44/12</f>
        <v>3.5137959448095466</v>
      </c>
      <c r="AW184" s="21">
        <f>EXP(-LN(2)/2)*AW183+(1-EXP(-LN(2)/2))/(LN(2)/2)*AQ184*AT184*VLOOKUP('Données projet'!$B$10,Paramètres!$A$1:$I$89,3,0)*0.475*44/12</f>
        <v>2.7751333556875573E-16</v>
      </c>
      <c r="AX184" s="21">
        <f t="shared" si="166"/>
        <v>26.787303215384064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-3.1036506698001178E-14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191.96190073146369</v>
      </c>
      <c r="BJ184" s="59">
        <f t="shared" si="146"/>
        <v>224.0560835232115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13.510294746713406</v>
      </c>
      <c r="BQ184" s="21">
        <f>EXP(-LN(2)/25)*BQ183+(1-EXP(-LN(2)/25))/(LN(2)/25)*Calculateur!BL184*Calculateur!BN184*VLOOKUP('Données projet'!$B$11,Paramètres!$A$1:$I$89,3,0)*0.475*44/12</f>
        <v>2.3153038313253478</v>
      </c>
      <c r="BR184" s="21">
        <f>EXP(-LN(2)/2)*BR183+(1-EXP(-LN(2)/2))/(LN(2)/2)*BL184*BO184*VLOOKUP('Données projet'!$B$11,Paramètres!$A$1:$I$89,3,0)*0.475*44/12</f>
        <v>1.4511900269064297E-16</v>
      </c>
      <c r="BS184" s="22">
        <f t="shared" si="169"/>
        <v>15.825598578038754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-2.5420376914553347E-13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410.71046306000068</v>
      </c>
      <c r="T185" s="59">
        <f t="shared" si="142"/>
        <v>430.43167430170087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33.862816875375238</v>
      </c>
      <c r="AA185" s="21">
        <f>EXP(-LN(2)/25)*AA184+(1-EXP(-LN(2)/25))/(LN(2)/25)*Calculateur!V185*Calculateur!X185*VLOOKUP('Données projet'!$B$9,Paramètres!$A$1:$I$89,3,0)*0.475*44/12</f>
        <v>2.5455878807725849</v>
      </c>
      <c r="AB185" s="21">
        <f>EXP(-LN(2)/2)*AB184+(1-EXP(-LN(2)/2))/(LN(2)/2)*V185*Y185*VLOOKUP('Données projet'!$B$9,Paramètres!$A$1:$I$89,3,0)*0.475*44/12</f>
        <v>1.1116889785111579E-16</v>
      </c>
      <c r="AC185" s="22">
        <f t="shared" si="163"/>
        <v>36.408404756147824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1.0049916454590858E-13</v>
      </c>
      <c r="AK185" s="13">
        <f t="shared" si="164"/>
        <v>1.5089081593838289E-12</v>
      </c>
      <c r="AL185" s="20">
        <f t="shared" si="165"/>
        <v>2.8030510891776262E-12</v>
      </c>
      <c r="AM185" s="59">
        <f t="shared" si="113"/>
        <v>293.3333333333361</v>
      </c>
      <c r="AN185" s="59">
        <f ca="1">AVERAGE(OFFSET($AM$3,0,0,'Données projet'!$E$10+1,1))-AVERAGE(OFFSET($H$3,0,0,'Données projet'!$E$10+1,1))</f>
        <v>343.36665824683809</v>
      </c>
      <c r="AO185" s="59">
        <f t="shared" si="144"/>
        <v>342.89042241858527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22.817127988436301</v>
      </c>
      <c r="AV185" s="21">
        <f>EXP(-LN(2)/25)*AV184+(1-EXP(-LN(2)/25))/(LN(2)/25)*Calculateur!AQ185*Calculateur!AS185*VLOOKUP('Données projet'!$B$10,Paramètres!$A$1:$I$89,3,0)*0.475*44/12</f>
        <v>3.4177110099162316</v>
      </c>
      <c r="AW185" s="21">
        <f>EXP(-LN(2)/2)*AW184+(1-EXP(-LN(2)/2))/(LN(2)/2)*AQ185*AT185*VLOOKUP('Données projet'!$B$10,Paramètres!$A$1:$I$89,3,0)*0.475*44/12</f>
        <v>1.962315614503651E-16</v>
      </c>
      <c r="AX185" s="21">
        <f t="shared" si="166"/>
        <v>26.234838998352533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-3.1036506698001178E-14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191.96190073146369</v>
      </c>
      <c r="BJ185" s="59">
        <f t="shared" si="146"/>
        <v>224.0560835232115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13.245366107196473</v>
      </c>
      <c r="BQ185" s="21">
        <f>EXP(-LN(2)/25)*BQ184+(1-EXP(-LN(2)/25))/(LN(2)/25)*Calculateur!BL185*Calculateur!BN185*VLOOKUP('Données projet'!$B$11,Paramètres!$A$1:$I$89,3,0)*0.475*44/12</f>
        <v>2.2519917263012195</v>
      </c>
      <c r="BR185" s="21">
        <f>EXP(-LN(2)/2)*BR184+(1-EXP(-LN(2)/2))/(LN(2)/2)*BL185*BO185*VLOOKUP('Données projet'!$B$11,Paramètres!$A$1:$I$89,3,0)*0.475*44/12</f>
        <v>1.0261463088158248E-16</v>
      </c>
      <c r="BS185" s="22">
        <f t="shared" si="169"/>
        <v>15.497357833497691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-2.5420376914553347E-13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410.71046306000068</v>
      </c>
      <c r="T186" s="59">
        <f t="shared" si="142"/>
        <v>430.43167430170087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33.198787690727983</v>
      </c>
      <c r="AA186" s="21">
        <f>EXP(-LN(2)/25)*AA185+(1-EXP(-LN(2)/25))/(LN(2)/25)*Calculateur!V186*Calculateur!X186*VLOOKUP('Données projet'!$B$9,Paramètres!$A$1:$I$89,3,0)*0.475*44/12</f>
        <v>2.4759786463062099</v>
      </c>
      <c r="AB186" s="21">
        <f>EXP(-LN(2)/2)*AB185+(1-EXP(-LN(2)/2))/(LN(2)/2)*V186*Y186*VLOOKUP('Données projet'!$B$9,Paramètres!$A$1:$I$89,3,0)*0.475*44/12</f>
        <v>7.8608281527558588E-17</v>
      </c>
      <c r="AC186" s="22">
        <f t="shared" si="163"/>
        <v>35.674766337034193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1.0049916454590858E-13</v>
      </c>
      <c r="AK186" s="13">
        <f t="shared" si="164"/>
        <v>1.5089081593838289E-12</v>
      </c>
      <c r="AL186" s="20">
        <f t="shared" si="165"/>
        <v>2.8030510891776262E-12</v>
      </c>
      <c r="AM186" s="59">
        <f t="shared" si="113"/>
        <v>293.3333333333361</v>
      </c>
      <c r="AN186" s="59">
        <f ca="1">AVERAGE(OFFSET($AM$3,0,0,'Données projet'!$E$10+1,1))-AVERAGE(OFFSET($H$3,0,0,'Données projet'!$E$10+1,1))</f>
        <v>343.36665824683809</v>
      </c>
      <c r="AO186" s="59">
        <f t="shared" si="144"/>
        <v>342.89042241858527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22.369698025656941</v>
      </c>
      <c r="AV186" s="21">
        <f>EXP(-LN(2)/25)*AV185+(1-EXP(-LN(2)/25))/(LN(2)/25)*Calculateur!AQ186*Calculateur!AS186*VLOOKUP('Données projet'!$B$10,Paramètres!$A$1:$I$89,3,0)*0.475*44/12</f>
        <v>3.3242535226204617</v>
      </c>
      <c r="AW186" s="21">
        <f>EXP(-LN(2)/2)*AW185+(1-EXP(-LN(2)/2))/(LN(2)/2)*AQ186*AT186*VLOOKUP('Données projet'!$B$10,Paramètres!$A$1:$I$89,3,0)*0.475*44/12</f>
        <v>1.3875666778437787E-16</v>
      </c>
      <c r="AX186" s="21">
        <f t="shared" si="166"/>
        <v>25.693951548277404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-3.1036506698001178E-14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191.96190073146369</v>
      </c>
      <c r="BJ186" s="59">
        <f t="shared" si="146"/>
        <v>224.0560835232115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12.985632556709952</v>
      </c>
      <c r="BQ186" s="21">
        <f>EXP(-LN(2)/25)*BQ185+(1-EXP(-LN(2)/25))/(LN(2)/25)*Calculateur!BL186*Calculateur!BN186*VLOOKUP('Données projet'!$B$11,Paramètres!$A$1:$I$89,3,0)*0.475*44/12</f>
        <v>2.1904108941184148</v>
      </c>
      <c r="BR186" s="21">
        <f>EXP(-LN(2)/2)*BR185+(1-EXP(-LN(2)/2))/(LN(2)/2)*BL186*BO186*VLOOKUP('Données projet'!$B$11,Paramètres!$A$1:$I$89,3,0)*0.475*44/12</f>
        <v>7.2559501345321483E-17</v>
      </c>
      <c r="BS186" s="22">
        <f t="shared" si="169"/>
        <v>15.176043450828367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-2.5420376914553347E-13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410.71046306000068</v>
      </c>
      <c r="T187" s="59">
        <f t="shared" si="142"/>
        <v>430.43167430170087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32.547779713373849</v>
      </c>
      <c r="AA187" s="21">
        <f>EXP(-LN(2)/25)*AA186+(1-EXP(-LN(2)/25))/(LN(2)/25)*Calculateur!V187*Calculateur!X187*VLOOKUP('Données projet'!$B$9,Paramètres!$A$1:$I$89,3,0)*0.475*44/12</f>
        <v>2.4082728800169084</v>
      </c>
      <c r="AB187" s="21">
        <f>EXP(-LN(2)/2)*AB186+(1-EXP(-LN(2)/2))/(LN(2)/2)*V187*Y187*VLOOKUP('Données projet'!$B$9,Paramètres!$A$1:$I$89,3,0)*0.475*44/12</f>
        <v>5.5584448925557896E-17</v>
      </c>
      <c r="AC187" s="22">
        <f t="shared" si="163"/>
        <v>34.956052593390758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1.0049916454590858E-13</v>
      </c>
      <c r="AK187" s="13">
        <f t="shared" si="164"/>
        <v>1.5089081593838289E-12</v>
      </c>
      <c r="AL187" s="20">
        <f t="shared" si="165"/>
        <v>2.8030510891776262E-12</v>
      </c>
      <c r="AM187" s="59">
        <f t="shared" si="113"/>
        <v>293.3333333333361</v>
      </c>
      <c r="AN187" s="59">
        <f ca="1">AVERAGE(OFFSET($AM$3,0,0,'Données projet'!$E$10+1,1))-AVERAGE(OFFSET($H$3,0,0,'Données projet'!$E$10+1,1))</f>
        <v>343.36665824683809</v>
      </c>
      <c r="AO187" s="59">
        <f t="shared" si="144"/>
        <v>342.89042241858527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21.931041891542353</v>
      </c>
      <c r="AV187" s="21">
        <f>EXP(-LN(2)/25)*AV186+(1-EXP(-LN(2)/25))/(LN(2)/25)*Calculateur!AQ187*Calculateur!AS187*VLOOKUP('Données projet'!$B$10,Paramètres!$A$1:$I$89,3,0)*0.475*44/12</f>
        <v>3.2333516352295102</v>
      </c>
      <c r="AW187" s="21">
        <f>EXP(-LN(2)/2)*AW186+(1-EXP(-LN(2)/2))/(LN(2)/2)*AQ187*AT187*VLOOKUP('Données projet'!$B$10,Paramètres!$A$1:$I$89,3,0)*0.475*44/12</f>
        <v>9.811578072518255E-17</v>
      </c>
      <c r="AX187" s="21">
        <f t="shared" si="166"/>
        <v>25.164393526771864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-3.1036506698001178E-14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191.96190073146369</v>
      </c>
      <c r="BJ187" s="59">
        <f t="shared" si="146"/>
        <v>224.0560835232115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12.73099222272665</v>
      </c>
      <c r="BQ187" s="21">
        <f>EXP(-LN(2)/25)*BQ186+(1-EXP(-LN(2)/25))/(LN(2)/25)*Calculateur!BL187*Calculateur!BN187*VLOOKUP('Données projet'!$B$11,Paramètres!$A$1:$I$89,3,0)*0.475*44/12</f>
        <v>2.1305139930300441</v>
      </c>
      <c r="BR187" s="21">
        <f>EXP(-LN(2)/2)*BR186+(1-EXP(-LN(2)/2))/(LN(2)/2)*BL187*BO187*VLOOKUP('Données projet'!$B$11,Paramètres!$A$1:$I$89,3,0)*0.475*44/12</f>
        <v>5.130731544079124E-17</v>
      </c>
      <c r="BS187" s="22">
        <f t="shared" si="169"/>
        <v>14.861506215756695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-2.5420376914553347E-13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410.71046306000068</v>
      </c>
      <c r="T188" s="59">
        <f t="shared" si="142"/>
        <v>430.43167430170087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31.909537605379974</v>
      </c>
      <c r="AA188" s="21">
        <f>EXP(-LN(2)/25)*AA187+(1-EXP(-LN(2)/25))/(LN(2)/25)*Calculateur!V188*Calculateur!X188*VLOOKUP('Données projet'!$B$9,Paramètres!$A$1:$I$89,3,0)*0.475*44/12</f>
        <v>2.3424185314672794</v>
      </c>
      <c r="AB188" s="21">
        <f>EXP(-LN(2)/2)*AB187+(1-EXP(-LN(2)/2))/(LN(2)/2)*V188*Y188*VLOOKUP('Données projet'!$B$9,Paramètres!$A$1:$I$89,3,0)*0.475*44/12</f>
        <v>3.9304140763779294E-17</v>
      </c>
      <c r="AC188" s="22">
        <f t="shared" si="163"/>
        <v>34.251956136847255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1.0049916454590858E-13</v>
      </c>
      <c r="AK188" s="13">
        <f t="shared" si="164"/>
        <v>1.5089081593838289E-12</v>
      </c>
      <c r="AL188" s="20">
        <f t="shared" si="165"/>
        <v>2.8030510891776262E-12</v>
      </c>
      <c r="AM188" s="59">
        <f t="shared" si="113"/>
        <v>293.3333333333361</v>
      </c>
      <c r="AN188" s="59">
        <f ca="1">AVERAGE(OFFSET($AM$3,0,0,'Données projet'!$E$10+1,1))-AVERAGE(OFFSET($H$3,0,0,'Données projet'!$E$10+1,1))</f>
        <v>343.36665824683809</v>
      </c>
      <c r="AO188" s="59">
        <f t="shared" si="144"/>
        <v>342.89042241858527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21.500987536663931</v>
      </c>
      <c r="AV188" s="21">
        <f>EXP(-LN(2)/25)*AV187+(1-EXP(-LN(2)/25))/(LN(2)/25)*Calculateur!AQ188*Calculateur!AS188*VLOOKUP('Données projet'!$B$10,Paramètres!$A$1:$I$89,3,0)*0.475*44/12</f>
        <v>3.1449354647295866</v>
      </c>
      <c r="AW188" s="21">
        <f>EXP(-LN(2)/2)*AW187+(1-EXP(-LN(2)/2))/(LN(2)/2)*AQ188*AT188*VLOOKUP('Données projet'!$B$10,Paramètres!$A$1:$I$89,3,0)*0.475*44/12</f>
        <v>6.9378333892188934E-17</v>
      </c>
      <c r="AX188" s="21">
        <f t="shared" si="166"/>
        <v>24.64592300139352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-3.1036506698001178E-14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191.96190073146369</v>
      </c>
      <c r="BJ188" s="59">
        <f t="shared" si="146"/>
        <v>224.0560835232115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12.481345230377492</v>
      </c>
      <c r="BQ188" s="21">
        <f>EXP(-LN(2)/25)*BQ187+(1-EXP(-LN(2)/25))/(LN(2)/25)*Calculateur!BL188*Calculateur!BN188*VLOOKUP('Données projet'!$B$11,Paramètres!$A$1:$I$89,3,0)*0.475*44/12</f>
        <v>2.0722549758517759</v>
      </c>
      <c r="BR188" s="21">
        <f>EXP(-LN(2)/2)*BR187+(1-EXP(-LN(2)/2))/(LN(2)/2)*BL188*BO188*VLOOKUP('Données projet'!$B$11,Paramètres!$A$1:$I$89,3,0)*0.475*44/12</f>
        <v>3.6279750672660742E-17</v>
      </c>
      <c r="BS188" s="22">
        <f t="shared" si="169"/>
        <v>14.553600206229268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-2.5420376914553347E-13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410.71046306000068</v>
      </c>
      <c r="T189" s="59">
        <f t="shared" si="142"/>
        <v>430.43167430170087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31.28381103583461</v>
      </c>
      <c r="AA189" s="21">
        <f>EXP(-LN(2)/25)*AA188+(1-EXP(-LN(2)/25))/(LN(2)/25)*Calculateur!V189*Calculateur!X189*VLOOKUP('Données projet'!$B$9,Paramètres!$A$1:$I$89,3,0)*0.475*44/12</f>
        <v>2.2783649735418696</v>
      </c>
      <c r="AB189" s="21">
        <f>EXP(-LN(2)/2)*AB188+(1-EXP(-LN(2)/2))/(LN(2)/2)*V189*Y189*VLOOKUP('Données projet'!$B$9,Paramètres!$A$1:$I$89,3,0)*0.475*44/12</f>
        <v>2.7792224462778948E-17</v>
      </c>
      <c r="AC189" s="22">
        <f t="shared" si="163"/>
        <v>33.562176009376479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1.0049916454590858E-13</v>
      </c>
      <c r="AK189" s="13">
        <f t="shared" si="164"/>
        <v>1.5089081593838289E-12</v>
      </c>
      <c r="AL189" s="20">
        <f t="shared" si="165"/>
        <v>2.8030510891776262E-12</v>
      </c>
      <c r="AM189" s="59">
        <f t="shared" si="113"/>
        <v>293.3333333333361</v>
      </c>
      <c r="AN189" s="59">
        <f ca="1">AVERAGE(OFFSET($AM$3,0,0,'Données projet'!$E$10+1,1))-AVERAGE(OFFSET($H$3,0,0,'Données projet'!$E$10+1,1))</f>
        <v>343.36665824683809</v>
      </c>
      <c r="AO189" s="59">
        <f t="shared" si="144"/>
        <v>342.89042241858527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21.079366285377418</v>
      </c>
      <c r="AV189" s="21">
        <f>EXP(-LN(2)/25)*AV188+(1-EXP(-LN(2)/25))/(LN(2)/25)*Calculateur!AQ189*Calculateur!AS189*VLOOKUP('Données projet'!$B$10,Paramètres!$A$1:$I$89,3,0)*0.475*44/12</f>
        <v>3.058937039061588</v>
      </c>
      <c r="AW189" s="21">
        <f>EXP(-LN(2)/2)*AW188+(1-EXP(-LN(2)/2))/(LN(2)/2)*AQ189*AT189*VLOOKUP('Données projet'!$B$10,Paramètres!$A$1:$I$89,3,0)*0.475*44/12</f>
        <v>4.9057890362591275E-17</v>
      </c>
      <c r="AX189" s="21">
        <f t="shared" si="166"/>
        <v>24.138303324439008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-3.1036506698001178E-14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191.96190073146369</v>
      </c>
      <c r="BJ189" s="59">
        <f t="shared" si="146"/>
        <v>224.0560835232115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12.236593663278672</v>
      </c>
      <c r="BQ189" s="21">
        <f>EXP(-LN(2)/25)*BQ188+(1-EXP(-LN(2)/25))/(LN(2)/25)*Calculateur!BL189*Calculateur!BN189*VLOOKUP('Données projet'!$B$11,Paramètres!$A$1:$I$89,3,0)*0.475*44/12</f>
        <v>2.0155890545619561</v>
      </c>
      <c r="BR189" s="21">
        <f>EXP(-LN(2)/2)*BR188+(1-EXP(-LN(2)/2))/(LN(2)/2)*BL189*BO189*VLOOKUP('Données projet'!$B$11,Paramètres!$A$1:$I$89,3,0)*0.475*44/12</f>
        <v>2.565365772039562E-17</v>
      </c>
      <c r="BS189" s="22">
        <f t="shared" si="169"/>
        <v>14.252182717840629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-2.5420376914553347E-13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410.71046306000068</v>
      </c>
      <c r="T190" s="59">
        <f t="shared" si="142"/>
        <v>430.43167430170087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30.670354582662508</v>
      </c>
      <c r="AA190" s="21">
        <f>EXP(-LN(2)/25)*AA189+(1-EXP(-LN(2)/25))/(LN(2)/25)*Calculateur!V190*Calculateur!X190*VLOOKUP('Données projet'!$B$9,Paramètres!$A$1:$I$89,3,0)*0.475*44/12</f>
        <v>2.2160629635263605</v>
      </c>
      <c r="AB190" s="21">
        <f>EXP(-LN(2)/2)*AB189+(1-EXP(-LN(2)/2))/(LN(2)/2)*V190*Y190*VLOOKUP('Données projet'!$B$9,Paramètres!$A$1:$I$89,3,0)*0.475*44/12</f>
        <v>1.9652070381889647E-17</v>
      </c>
      <c r="AC190" s="22">
        <f t="shared" si="163"/>
        <v>32.886417546188866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1.0049916454590858E-13</v>
      </c>
      <c r="AK190" s="13">
        <f t="shared" si="164"/>
        <v>1.5089081593838289E-12</v>
      </c>
      <c r="AL190" s="20">
        <f t="shared" si="165"/>
        <v>2.8030510891776262E-12</v>
      </c>
      <c r="AM190" s="59">
        <f t="shared" si="113"/>
        <v>293.3333333333361</v>
      </c>
      <c r="AN190" s="59">
        <f ca="1">AVERAGE(OFFSET($AM$3,0,0,'Données projet'!$E$10+1,1))-AVERAGE(OFFSET($H$3,0,0,'Données projet'!$E$10+1,1))</f>
        <v>343.36665824683809</v>
      </c>
      <c r="AO190" s="59">
        <f t="shared" si="144"/>
        <v>342.89042241858527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20.666012769665063</v>
      </c>
      <c r="AV190" s="21">
        <f>EXP(-LN(2)/25)*AV189+(1-EXP(-LN(2)/25))/(LN(2)/25)*Calculateur!AQ190*Calculateur!AS190*VLOOKUP('Données projet'!$B$10,Paramètres!$A$1:$I$89,3,0)*0.475*44/12</f>
        <v>2.9752902448659411</v>
      </c>
      <c r="AW190" s="21">
        <f>EXP(-LN(2)/2)*AW189+(1-EXP(-LN(2)/2))/(LN(2)/2)*AQ190*AT190*VLOOKUP('Données projet'!$B$10,Paramètres!$A$1:$I$89,3,0)*0.475*44/12</f>
        <v>3.4689166946094467E-17</v>
      </c>
      <c r="AX190" s="21">
        <f t="shared" si="166"/>
        <v>23.641303014531005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-3.1036506698001178E-14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191.96190073146369</v>
      </c>
      <c r="BJ190" s="59">
        <f t="shared" si="146"/>
        <v>224.0560835232115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11.996641525126945</v>
      </c>
      <c r="BQ190" s="21">
        <f>EXP(-LN(2)/25)*BQ189+(1-EXP(-LN(2)/25))/(LN(2)/25)*Calculateur!BL190*Calculateur!BN190*VLOOKUP('Données projet'!$B$11,Paramètres!$A$1:$I$89,3,0)*0.475*44/12</f>
        <v>1.9604726658697378</v>
      </c>
      <c r="BR190" s="21">
        <f>EXP(-LN(2)/2)*BR189+(1-EXP(-LN(2)/2))/(LN(2)/2)*BL190*BO190*VLOOKUP('Données projet'!$B$11,Paramètres!$A$1:$I$89,3,0)*0.475*44/12</f>
        <v>1.8139875336330371E-17</v>
      </c>
      <c r="BS190" s="22">
        <f t="shared" si="169"/>
        <v>13.957114190996682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-2.5420376914553347E-13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410.71046306000068</v>
      </c>
      <c r="T191" s="59">
        <f t="shared" si="142"/>
        <v>430.43167430170087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30.068927636365622</v>
      </c>
      <c r="AA191" s="21">
        <f>EXP(-LN(2)/25)*AA190+(1-EXP(-LN(2)/25))/(LN(2)/25)*Calculateur!V191*Calculateur!X191*VLOOKUP('Données projet'!$B$9,Paramètres!$A$1:$I$89,3,0)*0.475*44/12</f>
        <v>2.1554646052510456</v>
      </c>
      <c r="AB191" s="21">
        <f>EXP(-LN(2)/2)*AB190+(1-EXP(-LN(2)/2))/(LN(2)/2)*V191*Y191*VLOOKUP('Données projet'!$B$9,Paramètres!$A$1:$I$89,3,0)*0.475*44/12</f>
        <v>1.3896112231389474E-17</v>
      </c>
      <c r="AC191" s="22">
        <f t="shared" si="163"/>
        <v>32.22439224161667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1.0049916454590858E-13</v>
      </c>
      <c r="AK191" s="13">
        <f t="shared" si="164"/>
        <v>1.5089081593838289E-12</v>
      </c>
      <c r="AL191" s="20">
        <f t="shared" si="165"/>
        <v>2.8030510891776262E-12</v>
      </c>
      <c r="AM191" s="59">
        <f t="shared" si="113"/>
        <v>293.3333333333361</v>
      </c>
      <c r="AN191" s="59">
        <f ca="1">AVERAGE(OFFSET($AM$3,0,0,'Données projet'!$E$10+1,1))-AVERAGE(OFFSET($H$3,0,0,'Données projet'!$E$10+1,1))</f>
        <v>343.36665824683809</v>
      </c>
      <c r="AO191" s="59">
        <f t="shared" si="144"/>
        <v>342.89042241858527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20.260764864275078</v>
      </c>
      <c r="AV191" s="21">
        <f>EXP(-LN(2)/25)*AV190+(1-EXP(-LN(2)/25))/(LN(2)/25)*Calculateur!AQ191*Calculateur!AS191*VLOOKUP('Données projet'!$B$10,Paramètres!$A$1:$I$89,3,0)*0.475*44/12</f>
        <v>2.8939307766563682</v>
      </c>
      <c r="AW191" s="21">
        <f>EXP(-LN(2)/2)*AW190+(1-EXP(-LN(2)/2))/(LN(2)/2)*AQ191*AT191*VLOOKUP('Données projet'!$B$10,Paramètres!$A$1:$I$89,3,0)*0.475*44/12</f>
        <v>2.4528945181295637E-17</v>
      </c>
      <c r="AX191" s="21">
        <f t="shared" si="166"/>
        <v>23.154695640931447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-3.1036506698001178E-14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191.96190073146369</v>
      </c>
      <c r="BJ191" s="59">
        <f t="shared" si="146"/>
        <v>224.0560835232115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11.761394702048019</v>
      </c>
      <c r="BQ191" s="21">
        <f>EXP(-LN(2)/25)*BQ190+(1-EXP(-LN(2)/25))/(LN(2)/25)*Calculateur!BL191*Calculateur!BN191*VLOOKUP('Données projet'!$B$11,Paramètres!$A$1:$I$89,3,0)*0.475*44/12</f>
        <v>1.9068634377247531</v>
      </c>
      <c r="BR191" s="21">
        <f>EXP(-LN(2)/2)*BR190+(1-EXP(-LN(2)/2))/(LN(2)/2)*BL191*BO191*VLOOKUP('Données projet'!$B$11,Paramètres!$A$1:$I$89,3,0)*0.475*44/12</f>
        <v>1.282682886019781E-17</v>
      </c>
      <c r="BS191" s="22">
        <f t="shared" si="169"/>
        <v>13.668258139772773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-2.5420376914553347E-13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410.71046306000068</v>
      </c>
      <c r="T192" s="59">
        <f t="shared" si="142"/>
        <v>430.43167430170087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29.479294305651404</v>
      </c>
      <c r="AA192" s="21">
        <f>EXP(-LN(2)/25)*AA191+(1-EXP(-LN(2)/25))/(LN(2)/25)*Calculateur!V192*Calculateur!X192*VLOOKUP('Données projet'!$B$9,Paramètres!$A$1:$I$89,3,0)*0.475*44/12</f>
        <v>2.0965233122694986</v>
      </c>
      <c r="AB192" s="21">
        <f>EXP(-LN(2)/2)*AB191+(1-EXP(-LN(2)/2))/(LN(2)/2)*V192*Y192*VLOOKUP('Données projet'!$B$9,Paramètres!$A$1:$I$89,3,0)*0.475*44/12</f>
        <v>9.8260351909448235E-18</v>
      </c>
      <c r="AC192" s="22">
        <f t="shared" si="163"/>
        <v>31.575817617920904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1.0049916454590858E-13</v>
      </c>
      <c r="AK192" s="13">
        <f t="shared" si="164"/>
        <v>1.5089081593838289E-12</v>
      </c>
      <c r="AL192" s="20">
        <f t="shared" si="165"/>
        <v>2.8030510891776262E-12</v>
      </c>
      <c r="AM192" s="59">
        <f t="shared" si="113"/>
        <v>293.3333333333361</v>
      </c>
      <c r="AN192" s="59">
        <f ca="1">AVERAGE(OFFSET($AM$3,0,0,'Données projet'!$E$10+1,1))-AVERAGE(OFFSET($H$3,0,0,'Données projet'!$E$10+1,1))</f>
        <v>343.36665824683809</v>
      </c>
      <c r="AO192" s="59">
        <f t="shared" si="144"/>
        <v>342.89042241858527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19.863463623132976</v>
      </c>
      <c r="AV192" s="21">
        <f>EXP(-LN(2)/25)*AV191+(1-EXP(-LN(2)/25))/(LN(2)/25)*Calculateur!AQ192*Calculateur!AS192*VLOOKUP('Données projet'!$B$10,Paramètres!$A$1:$I$89,3,0)*0.475*44/12</f>
        <v>2.8147960873834945</v>
      </c>
      <c r="AW192" s="21">
        <f>EXP(-LN(2)/2)*AW191+(1-EXP(-LN(2)/2))/(LN(2)/2)*AQ192*AT192*VLOOKUP('Données projet'!$B$10,Paramètres!$A$1:$I$89,3,0)*0.475*44/12</f>
        <v>1.7344583473047233E-17</v>
      </c>
      <c r="AX192" s="21">
        <f t="shared" si="166"/>
        <v>22.678259710516471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-3.1036506698001178E-14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191.96190073146369</v>
      </c>
      <c r="BJ192" s="59">
        <f t="shared" si="146"/>
        <v>224.0560835232115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11.530760925683277</v>
      </c>
      <c r="BQ192" s="21">
        <f>EXP(-LN(2)/25)*BQ191+(1-EXP(-LN(2)/25))/(LN(2)/25)*Calculateur!BL192*Calculateur!BN192*VLOOKUP('Données projet'!$B$11,Paramètres!$A$1:$I$89,3,0)*0.475*44/12</f>
        <v>1.8547201567425797</v>
      </c>
      <c r="BR192" s="21">
        <f>EXP(-LN(2)/2)*BR191+(1-EXP(-LN(2)/2))/(LN(2)/2)*BL192*BO192*VLOOKUP('Données projet'!$B$11,Paramètres!$A$1:$I$89,3,0)*0.475*44/12</f>
        <v>9.0699376681651854E-18</v>
      </c>
      <c r="BS192" s="22">
        <f t="shared" si="169"/>
        <v>13.385481082425857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-2.5420376914553347E-13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410.71046306000068</v>
      </c>
      <c r="T193" s="59">
        <f t="shared" si="142"/>
        <v>430.43167430170087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28.901223324911669</v>
      </c>
      <c r="AA193" s="21">
        <f>EXP(-LN(2)/25)*AA192+(1-EXP(-LN(2)/25))/(LN(2)/25)*Calculateur!V193*Calculateur!X193*VLOOKUP('Données projet'!$B$9,Paramètres!$A$1:$I$89,3,0)*0.475*44/12</f>
        <v>2.0391937720441198</v>
      </c>
      <c r="AB193" s="21">
        <f>EXP(-LN(2)/2)*AB192+(1-EXP(-LN(2)/2))/(LN(2)/2)*V193*Y193*VLOOKUP('Données projet'!$B$9,Paramètres!$A$1:$I$89,3,0)*0.475*44/12</f>
        <v>6.948056115694737E-18</v>
      </c>
      <c r="AC193" s="22">
        <f t="shared" si="163"/>
        <v>30.940417096955787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1.0049916454590858E-13</v>
      </c>
      <c r="AK193" s="13">
        <f t="shared" si="164"/>
        <v>1.5089081593838289E-12</v>
      </c>
      <c r="AL193" s="20">
        <f t="shared" si="165"/>
        <v>2.8030510891776262E-12</v>
      </c>
      <c r="AM193" s="59">
        <f t="shared" si="113"/>
        <v>293.3333333333361</v>
      </c>
      <c r="AN193" s="59">
        <f ca="1">AVERAGE(OFFSET($AM$3,0,0,'Données projet'!$E$10+1,1))-AVERAGE(OFFSET($H$3,0,0,'Données projet'!$E$10+1,1))</f>
        <v>343.36665824683809</v>
      </c>
      <c r="AO193" s="59">
        <f t="shared" si="144"/>
        <v>342.89042241858527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19.473953216999842</v>
      </c>
      <c r="AV193" s="21">
        <f>EXP(-LN(2)/25)*AV192+(1-EXP(-LN(2)/25))/(LN(2)/25)*Calculateur!AQ193*Calculateur!AS193*VLOOKUP('Données projet'!$B$10,Paramètres!$A$1:$I$89,3,0)*0.475*44/12</f>
        <v>2.7378253403502999</v>
      </c>
      <c r="AW193" s="21">
        <f>EXP(-LN(2)/2)*AW192+(1-EXP(-LN(2)/2))/(LN(2)/2)*AQ193*AT193*VLOOKUP('Données projet'!$B$10,Paramètres!$A$1:$I$89,3,0)*0.475*44/12</f>
        <v>1.2264472590647819E-17</v>
      </c>
      <c r="AX193" s="21">
        <f t="shared" si="166"/>
        <v>22.211778557350144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-3.1036506698001178E-14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191.96190073146369</v>
      </c>
      <c r="BJ193" s="59">
        <f t="shared" si="146"/>
        <v>224.0560835232115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11.304649737000334</v>
      </c>
      <c r="BQ193" s="21">
        <f>EXP(-LN(2)/25)*BQ192+(1-EXP(-LN(2)/25))/(LN(2)/25)*Calculateur!BL193*Calculateur!BN193*VLOOKUP('Données projet'!$B$11,Paramètres!$A$1:$I$89,3,0)*0.475*44/12</f>
        <v>1.8040027365209599</v>
      </c>
      <c r="BR193" s="21">
        <f>EXP(-LN(2)/2)*BR192+(1-EXP(-LN(2)/2))/(LN(2)/2)*BL193*BO193*VLOOKUP('Données projet'!$B$11,Paramètres!$A$1:$I$89,3,0)*0.475*44/12</f>
        <v>6.4134144300989049E-18</v>
      </c>
      <c r="BS193" s="22">
        <f t="shared" si="169"/>
        <v>13.108652473521294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-2.5420376914553347E-13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410.71046306000068</v>
      </c>
      <c r="T194" s="59">
        <f t="shared" si="142"/>
        <v>430.43167430170087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28.334487963515759</v>
      </c>
      <c r="AA194" s="21">
        <f>EXP(-LN(2)/25)*AA193+(1-EXP(-LN(2)/25))/(LN(2)/25)*Calculateur!V194*Calculateur!X194*VLOOKUP('Données projet'!$B$9,Paramètres!$A$1:$I$89,3,0)*0.475*44/12</f>
        <v>1.9834319111110335</v>
      </c>
      <c r="AB194" s="21">
        <f>EXP(-LN(2)/2)*AB193+(1-EXP(-LN(2)/2))/(LN(2)/2)*V194*Y194*VLOOKUP('Données projet'!$B$9,Paramètres!$A$1:$I$89,3,0)*0.475*44/12</f>
        <v>4.9130175954724117E-18</v>
      </c>
      <c r="AC194" s="22">
        <f t="shared" si="163"/>
        <v>30.317919874626792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1.0049916454590858E-13</v>
      </c>
      <c r="AK194" s="13">
        <f t="shared" si="164"/>
        <v>1.5089081593838289E-12</v>
      </c>
      <c r="AL194" s="20">
        <f t="shared" si="165"/>
        <v>2.8030510891776262E-12</v>
      </c>
      <c r="AM194" s="59">
        <f t="shared" si="113"/>
        <v>293.3333333333361</v>
      </c>
      <c r="AN194" s="59">
        <f ca="1">AVERAGE(OFFSET($AM$3,0,0,'Données projet'!$E$10+1,1))-AVERAGE(OFFSET($H$3,0,0,'Données projet'!$E$10+1,1))</f>
        <v>343.36665824683809</v>
      </c>
      <c r="AO194" s="59">
        <f t="shared" si="144"/>
        <v>342.89042241858527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19.092080872353087</v>
      </c>
      <c r="AV194" s="21">
        <f>EXP(-LN(2)/25)*AV193+(1-EXP(-LN(2)/25))/(LN(2)/25)*Calculateur!AQ194*Calculateur!AS194*VLOOKUP('Données projet'!$B$10,Paramètres!$A$1:$I$89,3,0)*0.475*44/12</f>
        <v>2.6629593624424435</v>
      </c>
      <c r="AW194" s="21">
        <f>EXP(-LN(2)/2)*AW193+(1-EXP(-LN(2)/2))/(LN(2)/2)*AQ194*AT194*VLOOKUP('Données projet'!$B$10,Paramètres!$A$1:$I$89,3,0)*0.475*44/12</f>
        <v>8.6722917365236167E-18</v>
      </c>
      <c r="AX194" s="21">
        <f t="shared" si="166"/>
        <v>21.75504023479553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-3.1036506698001178E-14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191.96190073146369</v>
      </c>
      <c r="BJ194" s="59">
        <f t="shared" si="146"/>
        <v>224.0560835232115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11.082972450813257</v>
      </c>
      <c r="BQ194" s="21">
        <f>EXP(-LN(2)/25)*BQ193+(1-EXP(-LN(2)/25))/(LN(2)/25)*Calculateur!BL194*Calculateur!BN194*VLOOKUP('Données projet'!$B$11,Paramètres!$A$1:$I$89,3,0)*0.475*44/12</f>
        <v>1.7546721868224133</v>
      </c>
      <c r="BR194" s="21">
        <f>EXP(-LN(2)/2)*BR193+(1-EXP(-LN(2)/2))/(LN(2)/2)*BL194*BO194*VLOOKUP('Données projet'!$B$11,Paramètres!$A$1:$I$89,3,0)*0.475*44/12</f>
        <v>4.5349688340825927E-18</v>
      </c>
      <c r="BS194" s="22">
        <f t="shared" si="169"/>
        <v>12.83764463763567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-2.5420376914553347E-13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410.71046306000068</v>
      </c>
      <c r="T195" s="59">
        <f t="shared" si="142"/>
        <v>430.43167430170087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27.778865936882383</v>
      </c>
      <c r="AA195" s="21">
        <f>EXP(-LN(2)/25)*AA194+(1-EXP(-LN(2)/25))/(LN(2)/25)*Calculateur!V195*Calculateur!X195*VLOOKUP('Données projet'!$B$9,Paramètres!$A$1:$I$89,3,0)*0.475*44/12</f>
        <v>1.9291948611975511</v>
      </c>
      <c r="AB195" s="21">
        <f>EXP(-LN(2)/2)*AB194+(1-EXP(-LN(2)/2))/(LN(2)/2)*V195*Y195*VLOOKUP('Données projet'!$B$9,Paramètres!$A$1:$I$89,3,0)*0.475*44/12</f>
        <v>3.4740280578473685E-18</v>
      </c>
      <c r="AC195" s="22">
        <f t="shared" si="163"/>
        <v>29.708060798079934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1.0049916454590858E-13</v>
      </c>
      <c r="AK195" s="13">
        <f t="shared" si="164"/>
        <v>1.5089081593838289E-12</v>
      </c>
      <c r="AL195" s="20">
        <f t="shared" si="165"/>
        <v>2.8030510891776262E-12</v>
      </c>
      <c r="AM195" s="59">
        <f t="shared" si="113"/>
        <v>293.3333333333361</v>
      </c>
      <c r="AN195" s="59">
        <f ca="1">AVERAGE(OFFSET($AM$3,0,0,'Données projet'!$E$10+1,1))-AVERAGE(OFFSET($H$3,0,0,'Données projet'!$E$10+1,1))</f>
        <v>343.36665824683809</v>
      </c>
      <c r="AO195" s="59">
        <f t="shared" si="144"/>
        <v>342.89042241858527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18.717696811465725</v>
      </c>
      <c r="AV195" s="21">
        <f>EXP(-LN(2)/25)*AV194+(1-EXP(-LN(2)/25))/(LN(2)/25)*Calculateur!AQ195*Calculateur!AS195*VLOOKUP('Données projet'!$B$10,Paramètres!$A$1:$I$89,3,0)*0.475*44/12</f>
        <v>2.5901405986375083</v>
      </c>
      <c r="AW195" s="21">
        <f>EXP(-LN(2)/2)*AW194+(1-EXP(-LN(2)/2))/(LN(2)/2)*AQ195*AT195*VLOOKUP('Données projet'!$B$10,Paramètres!$A$1:$I$89,3,0)*0.475*44/12</f>
        <v>6.1322362953239093E-18</v>
      </c>
      <c r="AX195" s="21">
        <f t="shared" si="166"/>
        <v>21.307837410103232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-3.1036506698001178E-14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191.96190073146369</v>
      </c>
      <c r="BJ195" s="59">
        <f t="shared" si="146"/>
        <v>224.0560835232115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10.865642120998515</v>
      </c>
      <c r="BQ195" s="21">
        <f>EXP(-LN(2)/25)*BQ194+(1-EXP(-LN(2)/25))/(LN(2)/25)*Calculateur!BL195*Calculateur!BN195*VLOOKUP('Données projet'!$B$11,Paramètres!$A$1:$I$89,3,0)*0.475*44/12</f>
        <v>1.7066905835995545</v>
      </c>
      <c r="BR195" s="21">
        <f>EXP(-LN(2)/2)*BR194+(1-EXP(-LN(2)/2))/(LN(2)/2)*BL195*BO195*VLOOKUP('Données projet'!$B$11,Paramètres!$A$1:$I$89,3,0)*0.475*44/12</f>
        <v>3.2067072150494525E-18</v>
      </c>
      <c r="BS195" s="22">
        <f t="shared" si="169"/>
        <v>12.57233270459807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-2.5420376914553347E-13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410.71046306000068</v>
      </c>
      <c r="T196" s="59">
        <f t="shared" si="142"/>
        <v>430.43167430170087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27.234139319295316</v>
      </c>
      <c r="AA196" s="21">
        <f>EXP(-LN(2)/25)*AA195+(1-EXP(-LN(2)/25))/(LN(2)/25)*Calculateur!V196*Calculateur!X196*VLOOKUP('Données projet'!$B$9,Paramètres!$A$1:$I$89,3,0)*0.475*44/12</f>
        <v>1.8764409262661557</v>
      </c>
      <c r="AB196" s="21">
        <f>EXP(-LN(2)/2)*AB195+(1-EXP(-LN(2)/2))/(LN(2)/2)*V196*Y196*VLOOKUP('Données projet'!$B$9,Paramètres!$A$1:$I$89,3,0)*0.475*44/12</f>
        <v>2.4565087977362059E-18</v>
      </c>
      <c r="AC196" s="22">
        <f t="shared" si="163"/>
        <v>29.110580245561472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1.0049916454590858E-13</v>
      </c>
      <c r="AK196" s="13">
        <f t="shared" si="164"/>
        <v>1.5089081593838289E-12</v>
      </c>
      <c r="AL196" s="20">
        <f t="shared" si="165"/>
        <v>2.8030510891776262E-12</v>
      </c>
      <c r="AM196" s="59">
        <f t="shared" ref="AM196:AM203" si="193">AL196+(AD196+AE196)*44/12</f>
        <v>293.3333333333361</v>
      </c>
      <c r="AN196" s="59">
        <f ca="1">AVERAGE(OFFSET($AM$3,0,0,'Données projet'!$E$10+1,1))-AVERAGE(OFFSET($H$3,0,0,'Données projet'!$E$10+1,1))</f>
        <v>343.36665824683809</v>
      </c>
      <c r="AO196" s="59">
        <f t="shared" si="144"/>
        <v>342.89042241858527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18.350654193660635</v>
      </c>
      <c r="AV196" s="21">
        <f>EXP(-LN(2)/25)*AV195+(1-EXP(-LN(2)/25))/(LN(2)/25)*Calculateur!AQ196*Calculateur!AS196*VLOOKUP('Données projet'!$B$10,Paramètres!$A$1:$I$89,3,0)*0.475*44/12</f>
        <v>2.5193130677581914</v>
      </c>
      <c r="AW196" s="21">
        <f>EXP(-LN(2)/2)*AW195+(1-EXP(-LN(2)/2))/(LN(2)/2)*AQ196*AT196*VLOOKUP('Données projet'!$B$10,Paramètres!$A$1:$I$89,3,0)*0.475*44/12</f>
        <v>4.3361458682618083E-18</v>
      </c>
      <c r="AX196" s="21">
        <f t="shared" si="166"/>
        <v>20.869967261418825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-3.1036506698001178E-14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191.96190073146369</v>
      </c>
      <c r="BJ196" s="59">
        <f t="shared" si="146"/>
        <v>224.0560835232115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10.652573506393027</v>
      </c>
      <c r="BQ196" s="21">
        <f>EXP(-LN(2)/25)*BQ195+(1-EXP(-LN(2)/25))/(LN(2)/25)*Calculateur!BL196*Calculateur!BN196*VLOOKUP('Données projet'!$B$11,Paramètres!$A$1:$I$89,3,0)*0.475*44/12</f>
        <v>1.6600210398400677</v>
      </c>
      <c r="BR196" s="21">
        <f>EXP(-LN(2)/2)*BR195+(1-EXP(-LN(2)/2))/(LN(2)/2)*BL196*BO196*VLOOKUP('Données projet'!$B$11,Paramètres!$A$1:$I$89,3,0)*0.475*44/12</f>
        <v>2.2674844170412963E-18</v>
      </c>
      <c r="BS196" s="22">
        <f t="shared" si="169"/>
        <v>12.312594546233095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-2.5420376914553347E-13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410.71046306000068</v>
      </c>
      <c r="T197" s="59">
        <f t="shared" ref="T197:T203" si="204">$T$3</f>
        <v>430.43167430170087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26.700094458428701</v>
      </c>
      <c r="AA197" s="21">
        <f>EXP(-LN(2)/25)*AA196+(1-EXP(-LN(2)/25))/(LN(2)/25)*Calculateur!V197*Calculateur!X197*VLOOKUP('Données projet'!$B$9,Paramètres!$A$1:$I$89,3,0)*0.475*44/12</f>
        <v>1.8251295504596681</v>
      </c>
      <c r="AB197" s="21">
        <f>EXP(-LN(2)/2)*AB196+(1-EXP(-LN(2)/2))/(LN(2)/2)*V197*Y197*VLOOKUP('Données projet'!$B$9,Paramètres!$A$1:$I$89,3,0)*0.475*44/12</f>
        <v>1.7370140289236843E-18</v>
      </c>
      <c r="AC197" s="22">
        <f t="shared" si="163"/>
        <v>28.525224008888369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1.0049916454590858E-13</v>
      </c>
      <c r="AK197" s="13">
        <f t="shared" si="164"/>
        <v>1.5089081593838289E-12</v>
      </c>
      <c r="AL197" s="20">
        <f t="shared" si="165"/>
        <v>2.8030510891776262E-12</v>
      </c>
      <c r="AM197" s="59">
        <f t="shared" si="193"/>
        <v>293.3333333333361</v>
      </c>
      <c r="AN197" s="59">
        <f ca="1">AVERAGE(OFFSET($AM$3,0,0,'Données projet'!$E$10+1,1))-AVERAGE(OFFSET($H$3,0,0,'Données projet'!$E$10+1,1))</f>
        <v>343.36665824683809</v>
      </c>
      <c r="AO197" s="59">
        <f t="shared" ref="AO197:AO203" si="205">$AO$3</f>
        <v>342.89042241858527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17.99080905771681</v>
      </c>
      <c r="AV197" s="21">
        <f>EXP(-LN(2)/25)*AV196+(1-EXP(-LN(2)/25))/(LN(2)/25)*Calculateur!AQ197*Calculateur!AS197*VLOOKUP('Données projet'!$B$10,Paramètres!$A$1:$I$89,3,0)*0.475*44/12</f>
        <v>2.4504223194354275</v>
      </c>
      <c r="AW197" s="21">
        <f>EXP(-LN(2)/2)*AW196+(1-EXP(-LN(2)/2))/(LN(2)/2)*AQ197*AT197*VLOOKUP('Données projet'!$B$10,Paramètres!$A$1:$I$89,3,0)*0.475*44/12</f>
        <v>3.0661181476619547E-18</v>
      </c>
      <c r="AX197" s="21">
        <f t="shared" si="166"/>
        <v>20.441231377152238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-3.1036506698001178E-14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191.96190073146369</v>
      </c>
      <c r="BJ197" s="59">
        <f t="shared" ref="BJ197:BJ203" si="206">$BJ$3</f>
        <v>224.0560835232115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10.44368303736093</v>
      </c>
      <c r="BQ197" s="21">
        <f>EXP(-LN(2)/25)*BQ196+(1-EXP(-LN(2)/25))/(LN(2)/25)*Calculateur!BL197*Calculateur!BN197*VLOOKUP('Données projet'!$B$11,Paramètres!$A$1:$I$89,3,0)*0.475*44/12</f>
        <v>1.6146276772089285</v>
      </c>
      <c r="BR197" s="21">
        <f>EXP(-LN(2)/2)*BR196+(1-EXP(-LN(2)/2))/(LN(2)/2)*BL197*BO197*VLOOKUP('Données projet'!$B$11,Paramètres!$A$1:$I$89,3,0)*0.475*44/12</f>
        <v>1.6033536075247262E-18</v>
      </c>
      <c r="BS197" s="22">
        <f t="shared" si="169"/>
        <v>12.05831071456986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-2.5420376914553347E-13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410.71046306000068</v>
      </c>
      <c r="T198" s="59">
        <f t="shared" si="204"/>
        <v>430.43167430170087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26.176521891548479</v>
      </c>
      <c r="AA198" s="21">
        <f>EXP(-LN(2)/25)*AA197+(1-EXP(-LN(2)/25))/(LN(2)/25)*Calculateur!V198*Calculateur!X198*VLOOKUP('Données projet'!$B$9,Paramètres!$A$1:$I$89,3,0)*0.475*44/12</f>
        <v>1.7752212869229569</v>
      </c>
      <c r="AB198" s="21">
        <f>EXP(-LN(2)/2)*AB197+(1-EXP(-LN(2)/2))/(LN(2)/2)*V198*Y198*VLOOKUP('Données projet'!$B$9,Paramètres!$A$1:$I$89,3,0)*0.475*44/12</f>
        <v>1.2282543988681029E-18</v>
      </c>
      <c r="AC198" s="22">
        <f t="shared" si="163"/>
        <v>27.951743178471435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1.0049916454590858E-13</v>
      </c>
      <c r="AK198" s="13">
        <f t="shared" si="164"/>
        <v>1.5089081593838289E-12</v>
      </c>
      <c r="AL198" s="20">
        <f t="shared" si="165"/>
        <v>2.8030510891776262E-12</v>
      </c>
      <c r="AM198" s="59">
        <f t="shared" si="193"/>
        <v>293.3333333333361</v>
      </c>
      <c r="AN198" s="59">
        <f ca="1">AVERAGE(OFFSET($AM$3,0,0,'Données projet'!$E$10+1,1))-AVERAGE(OFFSET($H$3,0,0,'Données projet'!$E$10+1,1))</f>
        <v>343.36665824683809</v>
      </c>
      <c r="AO198" s="59">
        <f t="shared" si="205"/>
        <v>342.89042241858527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17.638020265404982</v>
      </c>
      <c r="AV198" s="21">
        <f>EXP(-LN(2)/25)*AV197+(1-EXP(-LN(2)/25))/(LN(2)/25)*Calculateur!AQ198*Calculateur!AS198*VLOOKUP('Données projet'!$B$10,Paramètres!$A$1:$I$89,3,0)*0.475*44/12</f>
        <v>2.3834153922483563</v>
      </c>
      <c r="AW198" s="21">
        <f>EXP(-LN(2)/2)*AW197+(1-EXP(-LN(2)/2))/(LN(2)/2)*AQ198*AT198*VLOOKUP('Données projet'!$B$10,Paramètres!$A$1:$I$89,3,0)*0.475*44/12</f>
        <v>2.1680729341309042E-18</v>
      </c>
      <c r="AX198" s="21">
        <f t="shared" si="166"/>
        <v>20.021435657653338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-3.1036506698001178E-14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191.96190073146369</v>
      </c>
      <c r="BJ198" s="59">
        <f t="shared" si="206"/>
        <v>224.0560835232115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10.238888783015948</v>
      </c>
      <c r="BQ198" s="21">
        <f>EXP(-LN(2)/25)*BQ197+(1-EXP(-LN(2)/25))/(LN(2)/25)*Calculateur!BL198*Calculateur!BN198*VLOOKUP('Données projet'!$B$11,Paramètres!$A$1:$I$89,3,0)*0.475*44/12</f>
        <v>1.5704755984660712</v>
      </c>
      <c r="BR198" s="21">
        <f>EXP(-LN(2)/2)*BR197+(1-EXP(-LN(2)/2))/(LN(2)/2)*BL198*BO198*VLOOKUP('Données projet'!$B$11,Paramètres!$A$1:$I$89,3,0)*0.475*44/12</f>
        <v>1.1337422085206482E-18</v>
      </c>
      <c r="BS198" s="22">
        <f t="shared" si="169"/>
        <v>11.80936438148202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-2.5420376914553347E-13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410.71046306000068</v>
      </c>
      <c r="T199" s="59">
        <f t="shared" si="204"/>
        <v>430.43167430170087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25.663216263357047</v>
      </c>
      <c r="AA199" s="21">
        <f>EXP(-LN(2)/25)*AA198+(1-EXP(-LN(2)/25))/(LN(2)/25)*Calculateur!V199*Calculateur!X199*VLOOKUP('Données projet'!$B$9,Paramètres!$A$1:$I$89,3,0)*0.475*44/12</f>
        <v>1.7266777674772185</v>
      </c>
      <c r="AB199" s="21">
        <f>EXP(-LN(2)/2)*AB198+(1-EXP(-LN(2)/2))/(LN(2)/2)*V199*Y199*VLOOKUP('Données projet'!$B$9,Paramètres!$A$1:$I$89,3,0)*0.475*44/12</f>
        <v>8.6850701446184213E-19</v>
      </c>
      <c r="AC199" s="22">
        <f t="shared" si="163"/>
        <v>27.389894030834267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1.0049916454590858E-13</v>
      </c>
      <c r="AK199" s="13">
        <f t="shared" si="164"/>
        <v>1.5089081593838289E-12</v>
      </c>
      <c r="AL199" s="20">
        <f t="shared" si="165"/>
        <v>2.8030510891776262E-12</v>
      </c>
      <c r="AM199" s="59">
        <f t="shared" si="193"/>
        <v>293.3333333333361</v>
      </c>
      <c r="AN199" s="59">
        <f ca="1">AVERAGE(OFFSET($AM$3,0,0,'Données projet'!$E$10+1,1))-AVERAGE(OFFSET($H$3,0,0,'Données projet'!$E$10+1,1))</f>
        <v>343.36665824683809</v>
      </c>
      <c r="AO199" s="59">
        <f t="shared" si="205"/>
        <v>342.89042241858527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17.292149446130477</v>
      </c>
      <c r="AV199" s="21">
        <f>EXP(-LN(2)/25)*AV198+(1-EXP(-LN(2)/25))/(LN(2)/25)*Calculateur!AQ199*Calculateur!AS199*VLOOKUP('Données projet'!$B$10,Paramètres!$A$1:$I$89,3,0)*0.475*44/12</f>
        <v>2.3182407730089567</v>
      </c>
      <c r="AW199" s="21">
        <f>EXP(-LN(2)/2)*AW198+(1-EXP(-LN(2)/2))/(LN(2)/2)*AQ199*AT199*VLOOKUP('Données projet'!$B$10,Paramètres!$A$1:$I$89,3,0)*0.475*44/12</f>
        <v>1.5330590738309773E-18</v>
      </c>
      <c r="AX199" s="21">
        <f t="shared" si="166"/>
        <v>19.610390219139433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-3.1036506698001178E-14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191.96190073146369</v>
      </c>
      <c r="BJ199" s="59">
        <f t="shared" si="206"/>
        <v>224.0560835232115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10.038110419086511</v>
      </c>
      <c r="BQ199" s="21">
        <f>EXP(-LN(2)/25)*BQ198+(1-EXP(-LN(2)/25))/(LN(2)/25)*Calculateur!BL199*Calculateur!BN199*VLOOKUP('Données projet'!$B$11,Paramètres!$A$1:$I$89,3,0)*0.475*44/12</f>
        <v>1.5275308606382942</v>
      </c>
      <c r="BR199" s="21">
        <f>EXP(-LN(2)/2)*BR198+(1-EXP(-LN(2)/2))/(LN(2)/2)*BL199*BO199*VLOOKUP('Données projet'!$B$11,Paramètres!$A$1:$I$89,3,0)*0.475*44/12</f>
        <v>8.0167680376236312E-19</v>
      </c>
      <c r="BS199" s="22">
        <f t="shared" si="169"/>
        <v>11.565641279724804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-2.5420376914553347E-13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410.71046306000068</v>
      </c>
      <c r="T200" s="59">
        <f t="shared" si="204"/>
        <v>430.43167430170087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25.159976245448927</v>
      </c>
      <c r="AA200" s="21">
        <f>EXP(-LN(2)/25)*AA199+(1-EXP(-LN(2)/25))/(LN(2)/25)*Calculateur!V200*Calculateur!X200*VLOOKUP('Données projet'!$B$9,Paramètres!$A$1:$I$89,3,0)*0.475*44/12</f>
        <v>1.6794616731235166</v>
      </c>
      <c r="AB200" s="21">
        <f>EXP(-LN(2)/2)*AB199+(1-EXP(-LN(2)/2))/(LN(2)/2)*V200*Y200*VLOOKUP('Données projet'!$B$9,Paramètres!$A$1:$I$89,3,0)*0.475*44/12</f>
        <v>6.1412719943405147E-19</v>
      </c>
      <c r="AC200" s="22">
        <f t="shared" si="163"/>
        <v>26.839437918572443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1.0049916454590858E-13</v>
      </c>
      <c r="AK200" s="13">
        <f t="shared" si="164"/>
        <v>1.5089081593838289E-12</v>
      </c>
      <c r="AL200" s="20">
        <f t="shared" si="165"/>
        <v>2.8030510891776262E-12</v>
      </c>
      <c r="AM200" s="59">
        <f t="shared" si="193"/>
        <v>293.3333333333361</v>
      </c>
      <c r="AN200" s="59">
        <f ca="1">AVERAGE(OFFSET($AM$3,0,0,'Données projet'!$E$10+1,1))-AVERAGE(OFFSET($H$3,0,0,'Données projet'!$E$10+1,1))</f>
        <v>343.36665824683809</v>
      </c>
      <c r="AO200" s="59">
        <f t="shared" si="205"/>
        <v>342.89042241858527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16.953060942661573</v>
      </c>
      <c r="AV200" s="21">
        <f>EXP(-LN(2)/25)*AV199+(1-EXP(-LN(2)/25))/(LN(2)/25)*Calculateur!AQ200*Calculateur!AS200*VLOOKUP('Données projet'!$B$10,Paramètres!$A$1:$I$89,3,0)*0.475*44/12</f>
        <v>2.2548483571600428</v>
      </c>
      <c r="AW200" s="21">
        <f>EXP(-LN(2)/2)*AW199+(1-EXP(-LN(2)/2))/(LN(2)/2)*AQ200*AT200*VLOOKUP('Données projet'!$B$10,Paramètres!$A$1:$I$89,3,0)*0.475*44/12</f>
        <v>1.0840364670654521E-18</v>
      </c>
      <c r="AX200" s="21">
        <f t="shared" si="166"/>
        <v>19.207909299821615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-3.1036506698001178E-14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191.96190073146369</v>
      </c>
      <c r="BJ200" s="59">
        <f t="shared" si="206"/>
        <v>224.0560835232115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9.8412691964110195</v>
      </c>
      <c r="BQ200" s="21">
        <f>EXP(-LN(2)/25)*BQ199+(1-EXP(-LN(2)/25))/(LN(2)/25)*Calculateur!BL200*Calculateur!BN200*VLOOKUP('Données projet'!$B$11,Paramètres!$A$1:$I$89,3,0)*0.475*44/12</f>
        <v>1.4857604489247833</v>
      </c>
      <c r="BR200" s="21">
        <f>EXP(-LN(2)/2)*BR199+(1-EXP(-LN(2)/2))/(LN(2)/2)*BL200*BO200*VLOOKUP('Données projet'!$B$11,Paramètres!$A$1:$I$89,3,0)*0.475*44/12</f>
        <v>5.6687110426032409E-19</v>
      </c>
      <c r="BS200" s="22">
        <f t="shared" si="169"/>
        <v>11.327029645335802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-2.5420376914553347E-13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410.71046306000068</v>
      </c>
      <c r="T201" s="59">
        <f t="shared" si="204"/>
        <v>430.43167430170087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24.666604457345883</v>
      </c>
      <c r="AA201" s="21">
        <f>EXP(-LN(2)/25)*AA200+(1-EXP(-LN(2)/25))/(LN(2)/25)*Calculateur!V201*Calculateur!X201*VLOOKUP('Données projet'!$B$9,Paramètres!$A$1:$I$89,3,0)*0.475*44/12</f>
        <v>1.6335367053529031</v>
      </c>
      <c r="AB201" s="21">
        <f>EXP(-LN(2)/2)*AB200+(1-EXP(-LN(2)/2))/(LN(2)/2)*V201*Y201*VLOOKUP('Données projet'!$B$9,Paramètres!$A$1:$I$89,3,0)*0.475*44/12</f>
        <v>4.3425350723092107E-19</v>
      </c>
      <c r="AC201" s="22">
        <f t="shared" si="163"/>
        <v>26.300141162698786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1.0049916454590858E-13</v>
      </c>
      <c r="AK201" s="13">
        <f t="shared" si="164"/>
        <v>1.5089081593838289E-12</v>
      </c>
      <c r="AL201" s="20">
        <f t="shared" si="165"/>
        <v>2.8030510891776262E-12</v>
      </c>
      <c r="AM201" s="59">
        <f t="shared" si="193"/>
        <v>293.3333333333361</v>
      </c>
      <c r="AN201" s="59">
        <f ca="1">AVERAGE(OFFSET($AM$3,0,0,'Données projet'!$E$10+1,1))-AVERAGE(OFFSET($H$3,0,0,'Données projet'!$E$10+1,1))</f>
        <v>343.36665824683809</v>
      </c>
      <c r="AO201" s="59">
        <f t="shared" si="205"/>
        <v>342.89042241858527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16.62062175792213</v>
      </c>
      <c r="AV201" s="21">
        <f>EXP(-LN(2)/25)*AV200+(1-EXP(-LN(2)/25))/(LN(2)/25)*Calculateur!AQ201*Calculateur!AS201*VLOOKUP('Données projet'!$B$10,Paramètres!$A$1:$I$89,3,0)*0.475*44/12</f>
        <v>2.19318941025618</v>
      </c>
      <c r="AW201" s="21">
        <f>EXP(-LN(2)/2)*AW200+(1-EXP(-LN(2)/2))/(LN(2)/2)*AQ201*AT201*VLOOKUP('Données projet'!$B$10,Paramètres!$A$1:$I$89,3,0)*0.475*44/12</f>
        <v>7.6652953691548867E-19</v>
      </c>
      <c r="AX201" s="21">
        <f t="shared" si="166"/>
        <v>18.813811168178312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-3.1036506698001178E-14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191.96190073146369</v>
      </c>
      <c r="BJ201" s="59">
        <f t="shared" si="206"/>
        <v>224.0560835232115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9.6482879100509038</v>
      </c>
      <c r="BQ201" s="21">
        <f>EXP(-LN(2)/25)*BQ200+(1-EXP(-LN(2)/25))/(LN(2)/25)*Calculateur!BL201*Calculateur!BN201*VLOOKUP('Données projet'!$B$11,Paramètres!$A$1:$I$89,3,0)*0.475*44/12</f>
        <v>1.4451322513161888</v>
      </c>
      <c r="BR201" s="21">
        <f>EXP(-LN(2)/2)*BR200+(1-EXP(-LN(2)/2))/(LN(2)/2)*BL201*BO201*VLOOKUP('Données projet'!$B$11,Paramètres!$A$1:$I$89,3,0)*0.475*44/12</f>
        <v>4.0083840188118156E-19</v>
      </c>
      <c r="BS201" s="22">
        <f t="shared" si="169"/>
        <v>11.093420161367092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-2.5420376914553347E-13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410.71046306000068</v>
      </c>
      <c r="T202" s="59">
        <f t="shared" si="204"/>
        <v>430.43167430170087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24.182907389080466</v>
      </c>
      <c r="AA202" s="21">
        <f>EXP(-LN(2)/25)*AA201+(1-EXP(-LN(2)/25))/(LN(2)/25)*Calculateur!V202*Calculateur!X202*VLOOKUP('Données projet'!$B$9,Paramètres!$A$1:$I$89,3,0)*0.475*44/12</f>
        <v>1.5888675582410661</v>
      </c>
      <c r="AB202" s="21">
        <f>EXP(-LN(2)/2)*AB201+(1-EXP(-LN(2)/2))/(LN(2)/2)*V202*Y202*VLOOKUP('Données projet'!$B$9,Paramètres!$A$1:$I$89,3,0)*0.475*44/12</f>
        <v>3.0706359971702573E-19</v>
      </c>
      <c r="AC202" s="22">
        <f t="shared" si="163"/>
        <v>25.771774947321532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1.0049916454590858E-13</v>
      </c>
      <c r="AK202" s="13">
        <f t="shared" si="164"/>
        <v>1.5089081593838289E-12</v>
      </c>
      <c r="AL202" s="20">
        <f t="shared" si="165"/>
        <v>2.8030510891776262E-12</v>
      </c>
      <c r="AM202" s="59">
        <f t="shared" si="193"/>
        <v>293.3333333333361</v>
      </c>
      <c r="AN202" s="59">
        <f ca="1">AVERAGE(OFFSET($AM$3,0,0,'Données projet'!$E$10+1,1))-AVERAGE(OFFSET($H$3,0,0,'Données projet'!$E$10+1,1))</f>
        <v>343.36665824683809</v>
      </c>
      <c r="AO202" s="59">
        <f t="shared" si="205"/>
        <v>342.89042241858527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16.294701502827547</v>
      </c>
      <c r="AV202" s="21">
        <f>EXP(-LN(2)/25)*AV201+(1-EXP(-LN(2)/25))/(LN(2)/25)*Calculateur!AQ202*Calculateur!AS202*VLOOKUP('Données projet'!$B$10,Paramètres!$A$1:$I$89,3,0)*0.475*44/12</f>
        <v>2.133216530497906</v>
      </c>
      <c r="AW202" s="21">
        <f>EXP(-LN(2)/2)*AW201+(1-EXP(-LN(2)/2))/(LN(2)/2)*AQ202*AT202*VLOOKUP('Données projet'!$B$10,Paramètres!$A$1:$I$89,3,0)*0.475*44/12</f>
        <v>5.4201823353272604E-19</v>
      </c>
      <c r="AX202" s="21">
        <f t="shared" si="166"/>
        <v>18.427918033325454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-3.1036506698001178E-14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191.96190073146369</v>
      </c>
      <c r="BJ202" s="59">
        <f t="shared" si="206"/>
        <v>224.0560835232115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9.4590908690093478</v>
      </c>
      <c r="BQ202" s="21">
        <f>EXP(-LN(2)/25)*BQ201+(1-EXP(-LN(2)/25))/(LN(2)/25)*Calculateur!BL202*Calculateur!BN202*VLOOKUP('Données projet'!$B$11,Paramètres!$A$1:$I$89,3,0)*0.475*44/12</f>
        <v>1.4056150339077453</v>
      </c>
      <c r="BR202" s="21">
        <f>EXP(-LN(2)/2)*BR201+(1-EXP(-LN(2)/2))/(LN(2)/2)*BL202*BO202*VLOOKUP('Données projet'!$B$11,Paramètres!$A$1:$I$89,3,0)*0.475*44/12</f>
        <v>2.8343555213016204E-19</v>
      </c>
      <c r="BS202" s="22">
        <f t="shared" si="169"/>
        <v>10.864705902917093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-2.5420376914553347E-13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410.71046306000068</v>
      </c>
      <c r="T203" s="59">
        <f t="shared" si="204"/>
        <v>430.43167430170087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23.708695325297651</v>
      </c>
      <c r="AA203" s="21">
        <f>EXP(-LN(2)/25)*AA202+(1-EXP(-LN(2)/25))/(LN(2)/25)*Calculateur!V203*Calculateur!X203*VLOOKUP('Données projet'!$B$9,Paramètres!$A$1:$I$89,3,0)*0.475*44/12</f>
        <v>1.5454198913060506</v>
      </c>
      <c r="AB203" s="21">
        <f>EXP(-LN(2)/2)*AB202+(1-EXP(-LN(2)/2))/(LN(2)/2)*V203*Y203*VLOOKUP('Données projet'!$B$9,Paramètres!$A$1:$I$89,3,0)*0.475*44/12</f>
        <v>2.1712675361546053E-19</v>
      </c>
      <c r="AC203" s="22">
        <f t="shared" si="163"/>
        <v>25.254115216603701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1.0049916454590858E-13</v>
      </c>
      <c r="AK203" s="13">
        <f t="shared" si="164"/>
        <v>1.5089081593838289E-12</v>
      </c>
      <c r="AL203" s="20">
        <f t="shared" si="165"/>
        <v>2.8030510891776262E-12</v>
      </c>
      <c r="AM203" s="59">
        <f t="shared" si="193"/>
        <v>293.3333333333361</v>
      </c>
      <c r="AN203" s="59">
        <f ca="1">AVERAGE(OFFSET($AM$3,0,0,'Données projet'!$E$10+1,1))-AVERAGE(OFFSET($H$3,0,0,'Données projet'!$E$10+1,1))</f>
        <v>343.36665824683809</v>
      </c>
      <c r="AO203" s="59">
        <f t="shared" si="205"/>
        <v>342.89042241858527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15.975172345143642</v>
      </c>
      <c r="AV203" s="21">
        <f>EXP(-LN(2)/25)*AV202+(1-EXP(-LN(2)/25))/(LN(2)/25)*Calculateur!AQ203*Calculateur!AS203*VLOOKUP('Données projet'!$B$10,Paramètres!$A$1:$I$89,3,0)*0.475*44/12</f>
        <v>2.074883612290459</v>
      </c>
      <c r="AW203" s="21">
        <f>EXP(-LN(2)/2)*AW202+(1-EXP(-LN(2)/2))/(LN(2)/2)*AQ203*AT203*VLOOKUP('Données projet'!$B$10,Paramètres!$A$1:$I$89,3,0)*0.475*44/12</f>
        <v>3.8326476845774433E-19</v>
      </c>
      <c r="AX203" s="21">
        <f t="shared" si="166"/>
        <v>18.0500559574341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-3.1036506698001178E-14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191.96190073146369</v>
      </c>
      <c r="BJ203" s="59">
        <f t="shared" si="206"/>
        <v>224.0560835232115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9.2736038665438159</v>
      </c>
      <c r="BQ203" s="21">
        <f>EXP(-LN(2)/25)*BQ202+(1-EXP(-LN(2)/25))/(LN(2)/25)*Calculateur!BL203*Calculateur!BN203*VLOOKUP('Données projet'!$B$11,Paramètres!$A$1:$I$89,3,0)*0.475*44/12</f>
        <v>1.3671784168874559</v>
      </c>
      <c r="BR203" s="21">
        <f>EXP(-LN(2)/2)*BR202+(1-EXP(-LN(2)/2))/(LN(2)/2)*BL203*BO203*VLOOKUP('Données projet'!$B$11,Paramètres!$A$1:$I$89,3,0)*0.475*44/12</f>
        <v>2.0041920094059078E-19</v>
      </c>
      <c r="BS203" s="22">
        <f t="shared" si="169"/>
        <v>10.640782283431271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1.4348951656753595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1.3248516801703365</v>
      </c>
      <c r="BA205" s="82">
        <f>EXP(LN('Données projet'!B88)/'Données projet'!A88)</f>
        <v>1.4309690811052556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15" sqref="M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3.8249999999999997</v>
      </c>
      <c r="C6" s="147">
        <f ca="1">IF(OR('Données projet'!B9="",'Données projet'!C9="",'Données projet'!C9=0%),0,Calculateur!S3)</f>
        <v>410.71046306000068</v>
      </c>
      <c r="D6" s="147">
        <f>IF(OR('Données projet'!B9="",'Données projet'!C9="",'Données projet'!C9=0%),0,Calculateur!T3)</f>
        <v>430.43167430170087</v>
      </c>
      <c r="E6" s="147">
        <f ca="1">MIN(C6,D6)</f>
        <v>410.71046306000068</v>
      </c>
      <c r="F6" s="147">
        <f ca="1">E6*B6</f>
        <v>1570.9675212045024</v>
      </c>
      <c r="G6" s="147">
        <f ca="1">F6*(100%-'Données projet'!$C$24)*(100%-'Données projet'!$C$25)*(100%-'Données projet'!$C$26)*(100%-'Données projet'!$C$27)</f>
        <v>1131.0966152672418</v>
      </c>
      <c r="H6" s="148">
        <f>IF(OR('Données projet'!B9="",'Données projet'!C9="",'Données projet'!C9=0%),0,AVERAGE(Calculateur!$AC$3:$AC$33)*B6)</f>
        <v>80.992150878088111</v>
      </c>
      <c r="I6" s="149">
        <f>H6*(100%-'Données projet'!$C$24)*(100%-'Données projet'!$C$25)*(100%-'Données projet'!$C$26)*(100%-'Données projet'!$C$27)</f>
        <v>58.314348632223449</v>
      </c>
      <c r="J6" s="150">
        <f>IF(OR('Données projet'!B9="",'Données projet'!C9="",'Données projet'!C9=0%),0,SUM(Calculateur!$V$3:$V$33)*VLOOKUP('Données projet'!$B$9,Paramètres!$A$1:$I$89,9,0)*B6)</f>
        <v>458.88524999999998</v>
      </c>
      <c r="K6" s="151">
        <f>J6*(100%-'Données projet'!$C$24)*(100%-'Données projet'!$C$25)*(100%-'Données projet'!$C$26)*(100%-'Données projet'!$C$27)</f>
        <v>330.39738</v>
      </c>
      <c r="L6" s="152">
        <f ca="1">G6+I6+K6</f>
        <v>1519.8083438994654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Séquoia toujours vert</v>
      </c>
      <c r="B7" s="154">
        <f>'Données projet'!D10</f>
        <v>0.63749999999999996</v>
      </c>
      <c r="C7" s="147">
        <f ca="1">IF(OR('Données projet'!B10="",'Données projet'!C10="",'Données projet'!C10=0%),0,Calculateur!AN3)</f>
        <v>343.36665824683809</v>
      </c>
      <c r="D7" s="147">
        <f>IF(OR('Données projet'!B10="",'Données projet'!C10="",'Données projet'!C10=0%),0,Calculateur!AO3)</f>
        <v>342.89042241858527</v>
      </c>
      <c r="E7" s="147">
        <f t="shared" ref="E7:E15" ca="1" si="0">MIN(C7,D7)</f>
        <v>342.89042241858527</v>
      </c>
      <c r="F7" s="147">
        <f t="shared" ref="F7:F15" ca="1" si="1">E7*B7</f>
        <v>218.5926442918481</v>
      </c>
      <c r="G7" s="147">
        <f ca="1">F7*(100%-'Données projet'!$C$24)*(100%-'Données projet'!$C$25)*(100%-'Données projet'!$C$26)*(100%-'Données projet'!$C$27)</f>
        <v>157.38670389013066</v>
      </c>
      <c r="H7" s="155">
        <f>IF(OR('Données projet'!B10="",'Données projet'!C10="",'Données projet'!C10=0%),0,AVERAGE(Calculateur!$AX$3:$AX$33)*B7)</f>
        <v>7.5545836835899491</v>
      </c>
      <c r="I7" s="149">
        <f>H7*(100%-'Données projet'!$C$24)*(100%-'Données projet'!$C$25)*(100%-'Données projet'!$C$26)*(100%-'Données projet'!$C$27)</f>
        <v>5.439300252184764</v>
      </c>
      <c r="J7" s="150">
        <f>IF(OR('Données projet'!B10="",'Données projet'!C10="",'Données projet'!C10=0%),0,SUM(Calculateur!$AQ$3:$AQ$33)*VLOOKUP('Données projet'!$B$10,Paramètres!$A$1:$I$89,9,0)*B7)</f>
        <v>66.338250000000002</v>
      </c>
      <c r="K7" s="151">
        <f>J7*(100%-'Données projet'!$C$24)*(100%-'Données projet'!$C$25)*(100%-'Données projet'!$C$26)*(100%-'Données projet'!$C$27)</f>
        <v>47.763540000000006</v>
      </c>
      <c r="L7" s="152">
        <f t="shared" ref="L7:L15" ca="1" si="2">G7+I7+K7</f>
        <v>210.58954414231542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hybride</v>
      </c>
      <c r="B8" s="154">
        <f>'Données projet'!D11</f>
        <v>0.63749999999999996</v>
      </c>
      <c r="C8" s="147">
        <f ca="1">IF(OR('Données projet'!B11="",'Données projet'!C11="",'Données projet'!C11=0%),0,Calculateur!BI3)</f>
        <v>191.96190073146369</v>
      </c>
      <c r="D8" s="147">
        <f>IF(OR('Données projet'!B11="",'Données projet'!C11="",'Données projet'!C11=0%),0,Calculateur!BJ3)</f>
        <v>224.0560835232115</v>
      </c>
      <c r="E8" s="147">
        <f t="shared" ca="1" si="0"/>
        <v>191.96190073146369</v>
      </c>
      <c r="F8" s="147">
        <f t="shared" ca="1" si="1"/>
        <v>122.37571171630809</v>
      </c>
      <c r="G8" s="147">
        <f ca="1">F8*(100%-'Données projet'!$C$24)*(100%-'Données projet'!$C$25)*(100%-'Données projet'!$C$26)*(100%-'Données projet'!$C$27)</f>
        <v>88.110512435741839</v>
      </c>
      <c r="H8" s="155">
        <f>IF(OR('Données projet'!B11="",'Données projet'!C11="",'Données projet'!C11=0%),0,AVERAGE(Calculateur!$BS$3:$BS$33)*B8)</f>
        <v>8.4324880546875516</v>
      </c>
      <c r="I8" s="149">
        <f>H8*(100%-'Données projet'!$C$24)*(100%-'Données projet'!$C$25)*(100%-'Données projet'!$C$26)*(100%-'Données projet'!$C$27)</f>
        <v>6.0713913993750381</v>
      </c>
      <c r="J8" s="150">
        <f>IF(OR('Données projet'!B11="",'Données projet'!C11="",'Données projet'!C11=0%),0,SUM(Calculateur!$BL$3:$BL$33)*VLOOKUP('Données projet'!$B$11,Paramètres!$A$1:$I$89,9,0)*B8)</f>
        <v>45.230624999999996</v>
      </c>
      <c r="K8" s="151">
        <f>J8*(100%-'Données projet'!$C$24)*(100%-'Données projet'!$C$25)*(100%-'Données projet'!$C$26)*(100%-'Données projet'!$C$27)</f>
        <v>32.566050000000004</v>
      </c>
      <c r="L8" s="152">
        <f t="shared" ca="1" si="2"/>
        <v>126.74795383511689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1911.9358772126586</v>
      </c>
      <c r="G16" s="166">
        <f t="shared" ca="1" si="3"/>
        <v>1376.5938315931144</v>
      </c>
      <c r="H16" s="167">
        <f t="shared" si="3"/>
        <v>96.979222616365618</v>
      </c>
      <c r="I16" s="167">
        <f t="shared" si="3"/>
        <v>69.825040283783252</v>
      </c>
      <c r="J16" s="168">
        <f t="shared" si="3"/>
        <v>570.45412499999998</v>
      </c>
      <c r="K16" s="168">
        <f t="shared" si="3"/>
        <v>410.72697000000005</v>
      </c>
      <c r="L16" s="169">
        <f t="shared" ca="1" si="3"/>
        <v>1857.1458418768977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Séquoia toujours vert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hybride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56" zoomScaleNormal="80" workbookViewId="0">
      <selection activeCell="V31" sqref="V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3.8249999999999997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Séquoia toujours vert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0.63749999999999996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Mélèze hybride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0.63749999999999996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15</v>
      </c>
      <c r="B24" s="181">
        <f>'Données projet'!D37</f>
        <v>48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77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25</v>
      </c>
      <c r="B26" s="181">
        <f>'Données projet'!D39</f>
        <v>77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30</v>
      </c>
      <c r="B27" s="181">
        <f>'Données projet'!D40</f>
        <v>77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35</v>
      </c>
      <c r="B28" s="181">
        <f>'Données projet'!D41</f>
        <v>77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77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45</v>
      </c>
      <c r="B30" s="181">
        <f>'Données projet'!D43</f>
        <v>76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50</v>
      </c>
      <c r="B31" s="181">
        <f>'Données projet'!D44</f>
        <v>62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55</v>
      </c>
      <c r="B32" s="181">
        <f>'Données projet'!D45</f>
        <v>53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60</v>
      </c>
      <c r="B33" s="181">
        <f>'Données projet'!D46</f>
        <v>48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65</v>
      </c>
      <c r="B34" s="181">
        <f>'Données projet'!D47</f>
        <v>780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Séquoia toujours vert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15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74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25</v>
      </c>
      <c r="B56" s="181">
        <f>'Données projet'!D64</f>
        <v>84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30</v>
      </c>
      <c r="B57" s="181">
        <f>'Données projet'!D65</f>
        <v>84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35</v>
      </c>
      <c r="B58" s="181">
        <f>'Données projet'!D66</f>
        <v>84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40</v>
      </c>
      <c r="B59" s="181">
        <f>'Données projet'!D67</f>
        <v>84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45</v>
      </c>
      <c r="B60" s="181">
        <f>'Données projet'!D68</f>
        <v>69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50</v>
      </c>
      <c r="B61" s="181">
        <f>'Données projet'!D69</f>
        <v>59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55</v>
      </c>
      <c r="B62" s="181">
        <f>'Données projet'!D70</f>
        <v>51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60</v>
      </c>
      <c r="B63" s="181">
        <f>'Données projet'!D71</f>
        <v>45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65</v>
      </c>
      <c r="B64" s="181">
        <f>'Données projet'!D72</f>
        <v>878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hybride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15</v>
      </c>
      <c r="B86" s="181">
        <f>'Données projet'!D89</f>
        <v>39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20</v>
      </c>
      <c r="B87" s="181">
        <f>'Données projet'!D90</f>
        <v>42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25</v>
      </c>
      <c r="B88" s="181">
        <f>'Données projet'!D91</f>
        <v>42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30</v>
      </c>
      <c r="B89" s="181">
        <f>'Données projet'!D92</f>
        <v>42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35</v>
      </c>
      <c r="B90" s="181">
        <f>'Données projet'!D93</f>
        <v>42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40</v>
      </c>
      <c r="B91" s="181">
        <f>'Données projet'!D94</f>
        <v>38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45</v>
      </c>
      <c r="B92" s="181">
        <f>'Données projet'!D95</f>
        <v>34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50</v>
      </c>
      <c r="B93" s="181">
        <f>'Données projet'!D96</f>
        <v>31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55</v>
      </c>
      <c r="B94" s="181">
        <f>'Données projet'!D97</f>
        <v>29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60</v>
      </c>
      <c r="B95" s="181">
        <f>'Données projet'!D98</f>
        <v>27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65</v>
      </c>
      <c r="B96" s="181">
        <f>'Données projet'!D99</f>
        <v>370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str">
        <f>IF(O98+1&lt;=MIN('Données projet'!$E$9:$E$18),O98+1,"STOP")</f>
        <v>STOP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2024-05-13T15:14:46Z</dcterms:modified>
</cp:coreProperties>
</file>