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Potence R1\"/>
    </mc:Choice>
  </mc:AlternateContent>
  <xr:revisionPtr revIDLastSave="0" documentId="13_ncr:1_{14B837FC-2CC9-4D13-B866-76D90A4524C6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253" i="1" l="1"/>
  <c r="D253" i="1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GZ8" i="2" l="1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FE25" i="2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<sst xmlns="http://schemas.openxmlformats.org/spreadsheetml/2006/main" count="1179" uniqueCount="324">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</sst>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1.7020773478372748</c:v>
                </c:pt>
                <c:pt idx="2">
                  <c:v>2.320248199409106</c:v>
                </c:pt>
                <c:pt idx="3">
                  <c:v>3.1638930030787207</c:v>
                </c:pt>
                <c:pt idx="4">
                  <c:v>4.3155831827853826</c:v>
                </c:pt>
                <c:pt idx="5">
                  <c:v>5.8882423082720416</c:v>
                </c:pt>
                <c:pt idx="6">
                  <c:v>13.507636759953243</c:v>
                </c:pt>
                <c:pt idx="7">
                  <c:v>20.991046980094804</c:v>
                </c:pt>
                <c:pt idx="8">
                  <c:v>28.39635613013553</c:v>
                </c:pt>
                <c:pt idx="9">
                  <c:v>35.747228246276173</c:v>
                </c:pt>
                <c:pt idx="10">
                  <c:v>43.056559789138312</c:v>
                </c:pt>
                <c:pt idx="11">
                  <c:v>55.877298998482765</c:v>
                </c:pt>
                <c:pt idx="12">
                  <c:v>68.620447763566872</c:v>
                </c:pt>
                <c:pt idx="13">
                  <c:v>81.302548306056607</c:v>
                </c:pt>
                <c:pt idx="14">
                  <c:v>93.934506346217788</c:v>
                </c:pt>
                <c:pt idx="15">
                  <c:v>106.5240342463154</c:v>
                </c:pt>
                <c:pt idx="16">
                  <c:v>123.04501459432237</c:v>
                </c:pt>
                <c:pt idx="17">
                  <c:v>139.51202162030808</c:v>
                </c:pt>
                <c:pt idx="18">
                  <c:v>155.932331861748</c:v>
                </c:pt>
                <c:pt idx="19">
                  <c:v>172.31155948797178</c:v>
                </c:pt>
                <c:pt idx="20">
                  <c:v>188.65416178910729</c:v>
                </c:pt>
                <c:pt idx="21">
                  <c:v>4.7153987257460977E-13</c:v>
                </c:pt>
                <c:pt idx="22">
                  <c:v>4.7153987257460977E-13</c:v>
                </c:pt>
                <c:pt idx="23">
                  <c:v>4.7153987257460977E-13</c:v>
                </c:pt>
                <c:pt idx="24">
                  <c:v>4.7153987257460977E-13</c:v>
                </c:pt>
                <c:pt idx="25">
                  <c:v>4.7153987257460977E-13</c:v>
                </c:pt>
                <c:pt idx="26">
                  <c:v>4.7153987257460977E-13</c:v>
                </c:pt>
                <c:pt idx="27">
                  <c:v>4.7153987257460977E-13</c:v>
                </c:pt>
                <c:pt idx="28">
                  <c:v>4.7153987257460977E-13</c:v>
                </c:pt>
                <c:pt idx="29">
                  <c:v>4.7153987257460977E-13</c:v>
                </c:pt>
                <c:pt idx="30">
                  <c:v>4.7153987257460977E-13</c:v>
                </c:pt>
                <c:pt idx="31">
                  <c:v>4.7153987257460977E-13</c:v>
                </c:pt>
                <c:pt idx="32">
                  <c:v>4.7153987257460977E-13</c:v>
                </c:pt>
                <c:pt idx="33">
                  <c:v>4.7153987257460977E-13</c:v>
                </c:pt>
                <c:pt idx="34">
                  <c:v>4.7153987257460977E-13</c:v>
                </c:pt>
                <c:pt idx="35">
                  <c:v>4.7153987257460977E-13</c:v>
                </c:pt>
                <c:pt idx="36">
                  <c:v>4.7153987257460977E-13</c:v>
                </c:pt>
                <c:pt idx="37">
                  <c:v>4.7153987257460977E-13</c:v>
                </c:pt>
                <c:pt idx="38">
                  <c:v>4.7153987257460977E-13</c:v>
                </c:pt>
                <c:pt idx="39">
                  <c:v>4.7153987257460977E-13</c:v>
                </c:pt>
                <c:pt idx="40">
                  <c:v>4.7153987257460977E-13</c:v>
                </c:pt>
                <c:pt idx="41">
                  <c:v>4.7153987257460977E-13</c:v>
                </c:pt>
                <c:pt idx="42">
                  <c:v>4.7153987257460977E-13</c:v>
                </c:pt>
                <c:pt idx="43">
                  <c:v>4.7153987257460977E-13</c:v>
                </c:pt>
                <c:pt idx="44">
                  <c:v>4.7153987257460977E-13</c:v>
                </c:pt>
                <c:pt idx="45">
                  <c:v>4.7153987257460977E-13</c:v>
                </c:pt>
                <c:pt idx="46">
                  <c:v>4.7153987257460977E-13</c:v>
                </c:pt>
                <c:pt idx="47">
                  <c:v>4.7153987257460977E-13</c:v>
                </c:pt>
                <c:pt idx="48">
                  <c:v>4.7153987257460977E-13</c:v>
                </c:pt>
                <c:pt idx="49">
                  <c:v>4.7153987257460977E-13</c:v>
                </c:pt>
                <c:pt idx="50">
                  <c:v>4.7153987257460977E-13</c:v>
                </c:pt>
                <c:pt idx="51">
                  <c:v>4.7153987257460977E-13</c:v>
                </c:pt>
                <c:pt idx="52">
                  <c:v>4.7153987257460977E-13</c:v>
                </c:pt>
                <c:pt idx="53">
                  <c:v>4.7153987257460977E-13</c:v>
                </c:pt>
                <c:pt idx="54">
                  <c:v>4.7153987257460977E-13</c:v>
                </c:pt>
                <c:pt idx="55">
                  <c:v>4.7153987257460977E-13</c:v>
                </c:pt>
                <c:pt idx="56">
                  <c:v>4.7153987257460977E-13</c:v>
                </c:pt>
                <c:pt idx="57">
                  <c:v>4.7153987257460977E-13</c:v>
                </c:pt>
                <c:pt idx="58">
                  <c:v>4.7153987257460977E-13</c:v>
                </c:pt>
                <c:pt idx="59">
                  <c:v>4.7153987257460977E-13</c:v>
                </c:pt>
                <c:pt idx="60">
                  <c:v>4.7153987257460977E-13</c:v>
                </c:pt>
                <c:pt idx="61">
                  <c:v>4.7153987257460977E-13</c:v>
                </c:pt>
                <c:pt idx="62">
                  <c:v>4.7153987257460977E-13</c:v>
                </c:pt>
                <c:pt idx="63">
                  <c:v>4.7153987257460977E-13</c:v>
                </c:pt>
                <c:pt idx="64">
                  <c:v>4.7153987257460977E-13</c:v>
                </c:pt>
                <c:pt idx="65">
                  <c:v>4.7153987257460977E-13</c:v>
                </c:pt>
                <c:pt idx="66">
                  <c:v>4.7153987257460977E-13</c:v>
                </c:pt>
                <c:pt idx="67">
                  <c:v>4.7153987257460977E-13</c:v>
                </c:pt>
                <c:pt idx="68">
                  <c:v>4.7153987257460977E-13</c:v>
                </c:pt>
                <c:pt idx="69">
                  <c:v>4.7153987257460977E-13</c:v>
                </c:pt>
                <c:pt idx="70">
                  <c:v>4.7153987257460977E-13</c:v>
                </c:pt>
                <c:pt idx="71">
                  <c:v>4.7153987257460977E-13</c:v>
                </c:pt>
                <c:pt idx="72">
                  <c:v>4.7153987257460977E-13</c:v>
                </c:pt>
                <c:pt idx="73">
                  <c:v>4.7153987257460977E-13</c:v>
                </c:pt>
                <c:pt idx="74">
                  <c:v>4.7153987257460977E-13</c:v>
                </c:pt>
                <c:pt idx="75">
                  <c:v>4.7153987257460977E-13</c:v>
                </c:pt>
                <c:pt idx="76">
                  <c:v>4.7153987257460977E-13</c:v>
                </c:pt>
                <c:pt idx="77">
                  <c:v>4.7153987257460977E-13</c:v>
                </c:pt>
                <c:pt idx="78">
                  <c:v>4.7153987257460977E-13</c:v>
                </c:pt>
                <c:pt idx="79">
                  <c:v>4.7153987257460977E-13</c:v>
                </c:pt>
                <c:pt idx="80">
                  <c:v>4.7153987257460977E-13</c:v>
                </c:pt>
                <c:pt idx="81">
                  <c:v>4.7153987257460977E-13</c:v>
                </c:pt>
                <c:pt idx="82">
                  <c:v>4.7153987257460977E-13</c:v>
                </c:pt>
                <c:pt idx="83">
                  <c:v>4.7153987257460977E-13</c:v>
                </c:pt>
                <c:pt idx="84">
                  <c:v>4.7153987257460977E-13</c:v>
                </c:pt>
                <c:pt idx="85">
                  <c:v>4.7153987257460977E-13</c:v>
                </c:pt>
                <c:pt idx="86">
                  <c:v>4.7153987257460977E-13</c:v>
                </c:pt>
                <c:pt idx="87">
                  <c:v>4.7153987257460977E-13</c:v>
                </c:pt>
                <c:pt idx="88">
                  <c:v>4.7153987257460977E-13</c:v>
                </c:pt>
                <c:pt idx="89">
                  <c:v>4.7153987257460977E-13</c:v>
                </c:pt>
                <c:pt idx="90">
                  <c:v>4.7153987257460977E-13</c:v>
                </c:pt>
                <c:pt idx="91">
                  <c:v>4.7153987257460977E-13</c:v>
                </c:pt>
                <c:pt idx="92">
                  <c:v>4.7153987257460977E-13</c:v>
                </c:pt>
                <c:pt idx="93">
                  <c:v>4.7153987257460977E-13</c:v>
                </c:pt>
                <c:pt idx="94">
                  <c:v>4.7153987257460977E-13</c:v>
                </c:pt>
                <c:pt idx="95">
                  <c:v>4.7153987257460977E-13</c:v>
                </c:pt>
                <c:pt idx="96">
                  <c:v>4.7153987257460977E-13</c:v>
                </c:pt>
                <c:pt idx="97">
                  <c:v>4.7153987257460977E-13</c:v>
                </c:pt>
                <c:pt idx="98">
                  <c:v>4.7153987257460977E-13</c:v>
                </c:pt>
                <c:pt idx="99">
                  <c:v>4.7153987257460977E-13</c:v>
                </c:pt>
                <c:pt idx="100">
                  <c:v>4.7153987257460977E-13</c:v>
                </c:pt>
                <c:pt idx="101">
                  <c:v>4.7153987257460977E-13</c:v>
                </c:pt>
                <c:pt idx="102">
                  <c:v>4.7153987257460977E-13</c:v>
                </c:pt>
                <c:pt idx="103">
                  <c:v>4.7153987257460977E-13</c:v>
                </c:pt>
                <c:pt idx="104">
                  <c:v>4.7153987257460977E-13</c:v>
                </c:pt>
                <c:pt idx="105">
                  <c:v>4.7153987257460977E-13</c:v>
                </c:pt>
                <c:pt idx="106">
                  <c:v>4.7153987257460977E-13</c:v>
                </c:pt>
                <c:pt idx="107">
                  <c:v>4.7153987257460977E-13</c:v>
                </c:pt>
                <c:pt idx="108">
                  <c:v>4.7153987257460977E-13</c:v>
                </c:pt>
                <c:pt idx="109">
                  <c:v>4.7153987257460977E-13</c:v>
                </c:pt>
                <c:pt idx="110">
                  <c:v>4.7153987257460977E-13</c:v>
                </c:pt>
                <c:pt idx="111">
                  <c:v>4.7153987257460977E-13</c:v>
                </c:pt>
                <c:pt idx="112">
                  <c:v>4.7153987257460977E-13</c:v>
                </c:pt>
                <c:pt idx="113">
                  <c:v>4.7153987257460977E-13</c:v>
                </c:pt>
                <c:pt idx="114">
                  <c:v>4.7153987257460977E-13</c:v>
                </c:pt>
                <c:pt idx="115">
                  <c:v>4.7153987257460977E-13</c:v>
                </c:pt>
                <c:pt idx="116">
                  <c:v>4.7153987257460977E-13</c:v>
                </c:pt>
                <c:pt idx="117">
                  <c:v>4.7153987257460977E-13</c:v>
                </c:pt>
                <c:pt idx="118">
                  <c:v>4.7153987257460977E-13</c:v>
                </c:pt>
                <c:pt idx="119">
                  <c:v>4.7153987257460977E-13</c:v>
                </c:pt>
                <c:pt idx="120">
                  <c:v>4.7153987257460977E-13</c:v>
                </c:pt>
                <c:pt idx="121">
                  <c:v>4.7153987257460977E-13</c:v>
                </c:pt>
                <c:pt idx="122">
                  <c:v>4.7153987257460977E-13</c:v>
                </c:pt>
                <c:pt idx="123">
                  <c:v>4.7153987257460977E-13</c:v>
                </c:pt>
                <c:pt idx="124">
                  <c:v>4.7153987257460977E-13</c:v>
                </c:pt>
                <c:pt idx="125">
                  <c:v>4.7153987257460977E-13</c:v>
                </c:pt>
                <c:pt idx="126">
                  <c:v>4.7153987257460977E-13</c:v>
                </c:pt>
                <c:pt idx="127">
                  <c:v>4.7153987257460977E-13</c:v>
                </c:pt>
                <c:pt idx="128">
                  <c:v>4.7153987257460977E-13</c:v>
                </c:pt>
                <c:pt idx="129">
                  <c:v>4.7153987257460977E-13</c:v>
                </c:pt>
                <c:pt idx="130">
                  <c:v>4.7153987257460977E-13</c:v>
                </c:pt>
                <c:pt idx="131">
                  <c:v>4.7153987257460977E-13</c:v>
                </c:pt>
                <c:pt idx="132">
                  <c:v>4.7153987257460977E-13</c:v>
                </c:pt>
                <c:pt idx="133">
                  <c:v>4.7153987257460977E-13</c:v>
                </c:pt>
                <c:pt idx="134">
                  <c:v>4.7153987257460977E-13</c:v>
                </c:pt>
                <c:pt idx="135">
                  <c:v>4.7153987257460977E-13</c:v>
                </c:pt>
                <c:pt idx="136">
                  <c:v>4.7153987257460977E-13</c:v>
                </c:pt>
                <c:pt idx="137">
                  <c:v>4.7153987257460977E-13</c:v>
                </c:pt>
                <c:pt idx="138">
                  <c:v>4.7153987257460977E-13</c:v>
                </c:pt>
                <c:pt idx="139">
                  <c:v>4.7153987257460977E-13</c:v>
                </c:pt>
                <c:pt idx="140">
                  <c:v>4.7153987257460977E-13</c:v>
                </c:pt>
                <c:pt idx="141">
                  <c:v>4.7153987257460977E-13</c:v>
                </c:pt>
                <c:pt idx="142">
                  <c:v>4.7153987257460977E-13</c:v>
                </c:pt>
                <c:pt idx="143">
                  <c:v>4.7153987257460977E-13</c:v>
                </c:pt>
                <c:pt idx="144">
                  <c:v>4.7153987257460977E-13</c:v>
                </c:pt>
                <c:pt idx="145">
                  <c:v>4.7153987257460977E-13</c:v>
                </c:pt>
                <c:pt idx="146">
                  <c:v>4.7153987257460977E-13</c:v>
                </c:pt>
                <c:pt idx="147">
                  <c:v>4.7153987257460977E-13</c:v>
                </c:pt>
                <c:pt idx="148">
                  <c:v>4.7153987257460977E-13</c:v>
                </c:pt>
                <c:pt idx="149">
                  <c:v>4.7153987257460977E-13</c:v>
                </c:pt>
                <c:pt idx="150">
                  <c:v>4.7153987257460977E-13</c:v>
                </c:pt>
                <c:pt idx="151">
                  <c:v>4.7153987257460977E-13</c:v>
                </c:pt>
                <c:pt idx="152">
                  <c:v>4.7153987257460977E-13</c:v>
                </c:pt>
                <c:pt idx="153">
                  <c:v>4.7153987257460977E-13</c:v>
                </c:pt>
                <c:pt idx="154">
                  <c:v>4.7153987257460977E-13</c:v>
                </c:pt>
                <c:pt idx="155">
                  <c:v>4.7153987257460977E-13</c:v>
                </c:pt>
                <c:pt idx="156">
                  <c:v>4.7153987257460977E-13</c:v>
                </c:pt>
                <c:pt idx="157">
                  <c:v>4.7153987257460977E-13</c:v>
                </c:pt>
                <c:pt idx="158">
                  <c:v>4.7153987257460977E-13</c:v>
                </c:pt>
                <c:pt idx="159">
                  <c:v>4.7153987257460977E-13</c:v>
                </c:pt>
                <c:pt idx="160">
                  <c:v>4.7153987257460977E-13</c:v>
                </c:pt>
                <c:pt idx="161">
                  <c:v>4.7153987257460977E-13</c:v>
                </c:pt>
                <c:pt idx="162">
                  <c:v>4.7153987257460977E-13</c:v>
                </c:pt>
                <c:pt idx="163">
                  <c:v>4.7153987257460977E-13</c:v>
                </c:pt>
                <c:pt idx="164">
                  <c:v>4.7153987257460977E-13</c:v>
                </c:pt>
                <c:pt idx="165">
                  <c:v>4.7153987257460977E-13</c:v>
                </c:pt>
                <c:pt idx="166">
                  <c:v>4.7153987257460977E-13</c:v>
                </c:pt>
                <c:pt idx="167">
                  <c:v>4.7153987257460977E-13</c:v>
                </c:pt>
                <c:pt idx="168">
                  <c:v>4.7153987257460977E-13</c:v>
                </c:pt>
                <c:pt idx="169">
                  <c:v>4.7153987257460977E-13</c:v>
                </c:pt>
                <c:pt idx="170">
                  <c:v>4.7153987257460977E-13</c:v>
                </c:pt>
                <c:pt idx="171">
                  <c:v>4.7153987257460977E-13</c:v>
                </c:pt>
                <c:pt idx="172">
                  <c:v>4.7153987257460977E-13</c:v>
                </c:pt>
                <c:pt idx="173">
                  <c:v>4.7153987257460977E-13</c:v>
                </c:pt>
                <c:pt idx="174">
                  <c:v>4.7153987257460977E-13</c:v>
                </c:pt>
                <c:pt idx="175">
                  <c:v>4.7153987257460977E-13</c:v>
                </c:pt>
                <c:pt idx="176">
                  <c:v>4.7153987257460977E-13</c:v>
                </c:pt>
                <c:pt idx="177">
                  <c:v>4.7153987257460977E-13</c:v>
                </c:pt>
                <c:pt idx="178">
                  <c:v>4.7153987257460977E-13</c:v>
                </c:pt>
                <c:pt idx="179">
                  <c:v>4.7153987257460977E-13</c:v>
                </c:pt>
                <c:pt idx="180">
                  <c:v>4.7153987257460977E-13</c:v>
                </c:pt>
                <c:pt idx="181">
                  <c:v>4.7153987257460977E-13</c:v>
                </c:pt>
                <c:pt idx="182">
                  <c:v>4.7153987257460977E-13</c:v>
                </c:pt>
                <c:pt idx="183">
                  <c:v>4.7153987257460977E-13</c:v>
                </c:pt>
                <c:pt idx="184">
                  <c:v>4.7153987257460977E-13</c:v>
                </c:pt>
                <c:pt idx="185">
                  <c:v>4.7153987257460977E-13</c:v>
                </c:pt>
                <c:pt idx="186">
                  <c:v>4.7153987257460977E-13</c:v>
                </c:pt>
                <c:pt idx="187">
                  <c:v>4.7153987257460977E-13</c:v>
                </c:pt>
                <c:pt idx="188">
                  <c:v>4.7153987257460977E-13</c:v>
                </c:pt>
                <c:pt idx="189">
                  <c:v>4.7153987257460977E-13</c:v>
                </c:pt>
                <c:pt idx="190">
                  <c:v>4.7153987257460977E-13</c:v>
                </c:pt>
                <c:pt idx="191">
                  <c:v>4.7153987257460977E-13</c:v>
                </c:pt>
                <c:pt idx="192">
                  <c:v>4.7153987257460977E-13</c:v>
                </c:pt>
                <c:pt idx="193">
                  <c:v>4.7153987257460977E-13</c:v>
                </c:pt>
                <c:pt idx="194">
                  <c:v>4.7153987257460977E-13</c:v>
                </c:pt>
                <c:pt idx="195">
                  <c:v>4.7153987257460977E-13</c:v>
                </c:pt>
                <c:pt idx="196">
                  <c:v>4.7153987257460977E-13</c:v>
                </c:pt>
                <c:pt idx="197">
                  <c:v>4.7153987257460977E-13</c:v>
                </c:pt>
                <c:pt idx="198">
                  <c:v>4.7153987257460977E-13</c:v>
                </c:pt>
                <c:pt idx="199">
                  <c:v>4.7153987257460977E-13</c:v>
                </c:pt>
                <c:pt idx="200">
                  <c:v>4.7153987257460977E-13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162.01318445359652</c:v>
                </c:pt>
                <c:pt idx="22">
                  <c:v>181.34368368345909</c:v>
                </c:pt>
                <c:pt idx="23">
                  <c:v>200.62594388226071</c:v>
                </c:pt>
                <c:pt idx="24">
                  <c:v>219.86525499788613</c:v>
                </c:pt>
                <c:pt idx="25">
                  <c:v>239.06590436046736</c:v>
                </c:pt>
                <c:pt idx="26">
                  <c:v>258.2314337725993</c:v>
                </c:pt>
                <c:pt idx="27">
                  <c:v>277.36481607055674</c:v>
                </c:pt>
                <c:pt idx="28">
                  <c:v>296.46858031425882</c:v>
                </c:pt>
                <c:pt idx="29">
                  <c:v>315.54490296905198</c:v>
                </c:pt>
                <c:pt idx="30">
                  <c:v>334.59567585759874</c:v>
                </c:pt>
                <c:pt idx="31">
                  <c:v>234.7395292137937</c:v>
                </c:pt>
                <c:pt idx="32">
                  <c:v>251.0952400785371</c:v>
                </c:pt>
                <c:pt idx="33">
                  <c:v>267.42680782176666</c:v>
                </c:pt>
                <c:pt idx="34">
                  <c:v>283.73591438004945</c:v>
                </c:pt>
                <c:pt idx="35">
                  <c:v>300.02403249547734</c:v>
                </c:pt>
                <c:pt idx="36">
                  <c:v>316.29246191955457</c:v>
                </c:pt>
                <c:pt idx="37">
                  <c:v>332.54235777302125</c:v>
                </c:pt>
                <c:pt idx="38">
                  <c:v>348.77475306916608</c:v>
                </c:pt>
                <c:pt idx="39">
                  <c:v>364.99057682300844</c:v>
                </c:pt>
                <c:pt idx="40">
                  <c:v>381.19066877305664</c:v>
                </c:pt>
                <c:pt idx="41">
                  <c:v>286.35837196420709</c:v>
                </c:pt>
                <c:pt idx="42">
                  <c:v>299.8369269420906</c:v>
                </c:pt>
                <c:pt idx="43">
                  <c:v>313.30199011471763</c:v>
                </c:pt>
                <c:pt idx="44">
                  <c:v>326.754223109576</c:v>
                </c:pt>
                <c:pt idx="45">
                  <c:v>340.19422861744857</c:v>
                </c:pt>
                <c:pt idx="46">
                  <c:v>353.62255781268237</c:v>
                </c:pt>
                <c:pt idx="47">
                  <c:v>367.03971658708946</c:v>
                </c:pt>
                <c:pt idx="48">
                  <c:v>380.44617082446945</c:v>
                </c:pt>
                <c:pt idx="49">
                  <c:v>393.8423508926914</c:v>
                </c:pt>
                <c:pt idx="50">
                  <c:v>407.2286554926086</c:v>
                </c:pt>
                <c:pt idx="51">
                  <c:v>324.51304901034973</c:v>
                </c:pt>
                <c:pt idx="52">
                  <c:v>334.96897652893705</c:v>
                </c:pt>
                <c:pt idx="53">
                  <c:v>345.41771532693969</c:v>
                </c:pt>
                <c:pt idx="54">
                  <c:v>355.85951361436645</c:v>
                </c:pt>
                <c:pt idx="55">
                  <c:v>366.29460383970803</c:v>
                </c:pt>
                <c:pt idx="56">
                  <c:v>376.72320412097525</c:v>
                </c:pt>
                <c:pt idx="57">
                  <c:v>387.14551950995337</c:v>
                </c:pt>
                <c:pt idx="58">
                  <c:v>397.56174311317267</c:v>
                </c:pt>
                <c:pt idx="59">
                  <c:v>407.97205708923843</c:v>
                </c:pt>
                <c:pt idx="60">
                  <c:v>418.37663353903184</c:v>
                </c:pt>
                <c:pt idx="61">
                  <c:v>351.9446375159219</c:v>
                </c:pt>
                <c:pt idx="62">
                  <c:v>359.95980096859495</c:v>
                </c:pt>
                <c:pt idx="63">
                  <c:v>367.97106108239876</c:v>
                </c:pt>
                <c:pt idx="64">
                  <c:v>375.97851488635962</c:v>
                </c:pt>
                <c:pt idx="65">
                  <c:v>383.98225493635528</c:v>
                </c:pt>
                <c:pt idx="66">
                  <c:v>391.98236961231675</c:v>
                </c:pt>
                <c:pt idx="67">
                  <c:v>399.97894338989158</c:v>
                </c:pt>
                <c:pt idx="68">
                  <c:v>407.97205708923872</c:v>
                </c:pt>
                <c:pt idx="69">
                  <c:v>415.96178810329894</c:v>
                </c:pt>
                <c:pt idx="70">
                  <c:v>423.94821060760842</c:v>
                </c:pt>
                <c:pt idx="71">
                  <c:v>370.57855237838561</c:v>
                </c:pt>
                <c:pt idx="72">
                  <c:v>376.72320412097542</c:v>
                </c:pt>
                <c:pt idx="73">
                  <c:v>382.86567361197154</c:v>
                </c:pt>
                <c:pt idx="74">
                  <c:v>389.00600083506538</c:v>
                </c:pt>
                <c:pt idx="75">
                  <c:v>395.14422440751946</c:v>
                </c:pt>
                <c:pt idx="76">
                  <c:v>401.28038164783965</c:v>
                </c:pt>
                <c:pt idx="77">
                  <c:v>407.41450863908841</c:v>
                </c:pt>
                <c:pt idx="78">
                  <c:v>413.54664028818576</c:v>
                </c:pt>
                <c:pt idx="79">
                  <c:v>419.67681038150459</c:v>
                </c:pt>
                <c:pt idx="80">
                  <c:v>425.80505163704908</c:v>
                </c:pt>
                <c:pt idx="81">
                  <c:v>385.84306708196317</c:v>
                </c:pt>
                <c:pt idx="82">
                  <c:v>390.49424676672476</c:v>
                </c:pt>
                <c:pt idx="83">
                  <c:v>395.14422440751952</c:v>
                </c:pt>
                <c:pt idx="84">
                  <c:v>399.79301616201752</c:v>
                </c:pt>
                <c:pt idx="85">
                  <c:v>404.44063778104493</c:v>
                </c:pt>
                <c:pt idx="86">
                  <c:v>409.08710462349313</c:v>
                </c:pt>
                <c:pt idx="87">
                  <c:v>413.73243167051163</c:v>
                </c:pt>
                <c:pt idx="88">
                  <c:v>418.37663353903218</c:v>
                </c:pt>
                <c:pt idx="89">
                  <c:v>423.01972449465916</c:v>
                </c:pt>
                <c:pt idx="90">
                  <c:v>427.66171846396463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1.9963395916609075</c:v>
                </c:pt>
                <c:pt idx="2">
                  <c:v>2.4666918748944688</c:v>
                </c:pt>
                <c:pt idx="3">
                  <c:v>3.0482937535692121</c:v>
                </c:pt>
                <c:pt idx="4">
                  <c:v>3.767554776863578</c:v>
                </c:pt>
                <c:pt idx="5">
                  <c:v>4.6571753080478384</c:v>
                </c:pt>
                <c:pt idx="6">
                  <c:v>5.7576497681090082</c:v>
                </c:pt>
                <c:pt idx="7">
                  <c:v>7.1191301438871548</c:v>
                </c:pt>
                <c:pt idx="8">
                  <c:v>8.8037363327574578</c:v>
                </c:pt>
                <c:pt idx="9">
                  <c:v>10.888420750176875</c:v>
                </c:pt>
                <c:pt idx="10">
                  <c:v>13.468520515430084</c:v>
                </c:pt>
                <c:pt idx="11">
                  <c:v>16.662162672601358</c:v>
                </c:pt>
                <c:pt idx="12">
                  <c:v>20.615727811275338</c:v>
                </c:pt>
                <c:pt idx="13">
                  <c:v>25.510627004649006</c:v>
                </c:pt>
                <c:pt idx="14">
                  <c:v>31.571708517410855</c:v>
                </c:pt>
                <c:pt idx="15">
                  <c:v>39.077687154299795</c:v>
                </c:pt>
                <c:pt idx="16">
                  <c:v>48.37408402931991</c:v>
                </c:pt>
                <c:pt idx="17">
                  <c:v>59.889282417162519</c:v>
                </c:pt>
                <c:pt idx="18">
                  <c:v>74.154451772621528</c:v>
                </c:pt>
                <c:pt idx="19">
                  <c:v>91.828273893540754</c:v>
                </c:pt>
                <c:pt idx="20">
                  <c:v>113.7276311626287</c:v>
                </c:pt>
                <c:pt idx="21">
                  <c:v>108.39275296262325</c:v>
                </c:pt>
                <c:pt idx="22">
                  <c:v>123.56076610518873</c:v>
                </c:pt>
                <c:pt idx="23">
                  <c:v>138.68350646511951</c:v>
                </c:pt>
                <c:pt idx="24">
                  <c:v>153.76661212101567</c:v>
                </c:pt>
                <c:pt idx="25">
                  <c:v>168.81452176155747</c:v>
                </c:pt>
                <c:pt idx="26">
                  <c:v>183.83081652024464</c:v>
                </c:pt>
                <c:pt idx="27">
                  <c:v>198.818443776305</c:v>
                </c:pt>
                <c:pt idx="28">
                  <c:v>213.77986970233783</c:v>
                </c:pt>
                <c:pt idx="29">
                  <c:v>228.71718675190141</c:v>
                </c:pt>
                <c:pt idx="30">
                  <c:v>243.63219153359816</c:v>
                </c:pt>
                <c:pt idx="31">
                  <c:v>183.42535972935534</c:v>
                </c:pt>
                <c:pt idx="32">
                  <c:v>198.683540464353</c:v>
                </c:pt>
                <c:pt idx="33">
                  <c:v>213.9145448477864</c:v>
                </c:pt>
                <c:pt idx="34">
                  <c:v>229.12058085809755</c:v>
                </c:pt>
                <c:pt idx="35">
                  <c:v>244.30353923844879</c:v>
                </c:pt>
                <c:pt idx="36">
                  <c:v>259.46505638552497</c:v>
                </c:pt>
                <c:pt idx="37">
                  <c:v>274.60656174697812</c:v>
                </c:pt>
                <c:pt idx="38">
                  <c:v>289.72931420493535</c:v>
                </c:pt>
                <c:pt idx="39">
                  <c:v>304.83443045803659</c:v>
                </c:pt>
                <c:pt idx="40">
                  <c:v>319.92290747907703</c:v>
                </c:pt>
                <c:pt idx="41">
                  <c:v>257.72185514470999</c:v>
                </c:pt>
                <c:pt idx="42">
                  <c:v>270.45461449361864</c:v>
                </c:pt>
                <c:pt idx="43">
                  <c:v>283.17388871622381</c:v>
                </c:pt>
                <c:pt idx="44">
                  <c:v>295.88036905328926</c:v>
                </c:pt>
                <c:pt idx="45">
                  <c:v>308.57468250394271</c:v>
                </c:pt>
                <c:pt idx="46">
                  <c:v>321.2574002496246</c:v>
                </c:pt>
                <c:pt idx="47">
                  <c:v>333.92904467751282</c:v>
                </c:pt>
                <c:pt idx="48">
                  <c:v>346.59009528166484</c:v>
                </c:pt>
                <c:pt idx="49">
                  <c:v>359.24099365648954</c:v>
                </c:pt>
                <c:pt idx="50">
                  <c:v>371.88214774985954</c:v>
                </c:pt>
                <c:pt idx="51">
                  <c:v>312.44745357063204</c:v>
                </c:pt>
                <c:pt idx="52">
                  <c:v>322.32490612511435</c:v>
                </c:pt>
                <c:pt idx="53">
                  <c:v>332.19566614415362</c:v>
                </c:pt>
                <c:pt idx="54">
                  <c:v>342.05996063814405</c:v>
                </c:pt>
                <c:pt idx="55">
                  <c:v>351.91800244848037</c:v>
                </c:pt>
                <c:pt idx="56">
                  <c:v>361.76999151264744</c:v>
                </c:pt>
                <c:pt idx="57">
                  <c:v>371.61611598424753</c:v>
                </c:pt>
                <c:pt idx="58">
                  <c:v>381.45655322808381</c:v>
                </c:pt>
                <c:pt idx="59">
                  <c:v>391.29147070716522</c:v>
                </c:pt>
                <c:pt idx="60">
                  <c:v>401.12102677585381</c:v>
                </c:pt>
                <c:pt idx="61">
                  <c:v>359.37410849427937</c:v>
                </c:pt>
                <c:pt idx="62">
                  <c:v>366.82683060441713</c:v>
                </c:pt>
                <c:pt idx="63">
                  <c:v>374.27624728301316</c:v>
                </c:pt>
                <c:pt idx="64">
                  <c:v>381.72243365169578</c:v>
                </c:pt>
                <c:pt idx="65">
                  <c:v>389.16546165993617</c:v>
                </c:pt>
                <c:pt idx="66">
                  <c:v>396.60540027844394</c:v>
                </c:pt>
                <c:pt idx="67">
                  <c:v>404.04231567728635</c:v>
                </c:pt>
                <c:pt idx="68">
                  <c:v>411.47627139020324</c:v>
                </c:pt>
                <c:pt idx="69">
                  <c:v>418.90732846642237</c:v>
                </c:pt>
                <c:pt idx="70">
                  <c:v>426.33554561113579</c:v>
                </c:pt>
                <c:pt idx="71">
                  <c:v>394.74570158915685</c:v>
                </c:pt>
                <c:pt idx="72">
                  <c:v>400.32423184951284</c:v>
                </c:pt>
                <c:pt idx="73">
                  <c:v>405.90107964999424</c:v>
                </c:pt>
                <c:pt idx="74">
                  <c:v>411.47627139020324</c:v>
                </c:pt>
                <c:pt idx="75">
                  <c:v>417.04983269531658</c:v>
                </c:pt>
                <c:pt idx="76">
                  <c:v>422.6217884490809</c:v>
                </c:pt>
                <c:pt idx="77">
                  <c:v>428.19216282497626</c:v>
                </c:pt>
                <c:pt idx="78">
                  <c:v>433.76097931567216</c:v>
                </c:pt>
                <c:pt idx="79">
                  <c:v>439.32826076089145</c:v>
                </c:pt>
                <c:pt idx="80">
                  <c:v>444.89402937378696</c:v>
                </c:pt>
                <c:pt idx="81">
                  <c:v>1.1088520285268936E-12</c:v>
                </c:pt>
                <c:pt idx="82">
                  <c:v>1.1088520285268936E-12</c:v>
                </c:pt>
                <c:pt idx="83">
                  <c:v>1.1088520285268936E-12</c:v>
                </c:pt>
                <c:pt idx="84">
                  <c:v>1.1088520285268936E-12</c:v>
                </c:pt>
                <c:pt idx="85">
                  <c:v>1.1088520285268936E-12</c:v>
                </c:pt>
                <c:pt idx="86">
                  <c:v>1.1088520285268936E-12</c:v>
                </c:pt>
                <c:pt idx="87">
                  <c:v>1.1088520285268936E-12</c:v>
                </c:pt>
                <c:pt idx="88">
                  <c:v>1.1088520285268936E-12</c:v>
                </c:pt>
                <c:pt idx="89">
                  <c:v>1.1088520285268936E-12</c:v>
                </c:pt>
                <c:pt idx="90">
                  <c:v>1.1088520285268936E-12</c:v>
                </c:pt>
                <c:pt idx="91">
                  <c:v>1.1088520285268936E-12</c:v>
                </c:pt>
                <c:pt idx="92">
                  <c:v>1.1088520285268936E-12</c:v>
                </c:pt>
                <c:pt idx="93">
                  <c:v>1.1088520285268936E-12</c:v>
                </c:pt>
                <c:pt idx="94">
                  <c:v>1.1088520285268936E-12</c:v>
                </c:pt>
                <c:pt idx="95">
                  <c:v>1.1088520285268936E-12</c:v>
                </c:pt>
                <c:pt idx="96">
                  <c:v>1.1088520285268936E-12</c:v>
                </c:pt>
                <c:pt idx="97">
                  <c:v>1.1088520285268936E-12</c:v>
                </c:pt>
                <c:pt idx="98">
                  <c:v>1.1088520285268936E-12</c:v>
                </c:pt>
                <c:pt idx="99">
                  <c:v>1.1088520285268936E-12</c:v>
                </c:pt>
                <c:pt idx="100">
                  <c:v>1.1088520285268936E-12</c:v>
                </c:pt>
                <c:pt idx="101">
                  <c:v>1.1088520285268936E-12</c:v>
                </c:pt>
                <c:pt idx="102">
                  <c:v>1.1088520285268936E-12</c:v>
                </c:pt>
                <c:pt idx="103">
                  <c:v>1.1088520285268936E-12</c:v>
                </c:pt>
                <c:pt idx="104">
                  <c:v>1.1088520285268936E-12</c:v>
                </c:pt>
                <c:pt idx="105">
                  <c:v>1.1088520285268936E-12</c:v>
                </c:pt>
                <c:pt idx="106">
                  <c:v>1.1088520285268936E-12</c:v>
                </c:pt>
                <c:pt idx="107">
                  <c:v>1.1088520285268936E-12</c:v>
                </c:pt>
                <c:pt idx="108">
                  <c:v>1.1088520285268936E-12</c:v>
                </c:pt>
                <c:pt idx="109">
                  <c:v>1.1088520285268936E-12</c:v>
                </c:pt>
                <c:pt idx="110">
                  <c:v>1.1088520285268936E-12</c:v>
                </c:pt>
                <c:pt idx="111">
                  <c:v>1.1088520285268936E-12</c:v>
                </c:pt>
                <c:pt idx="112">
                  <c:v>1.1088520285268936E-12</c:v>
                </c:pt>
                <c:pt idx="113">
                  <c:v>1.1088520285268936E-12</c:v>
                </c:pt>
                <c:pt idx="114">
                  <c:v>1.1088520285268936E-12</c:v>
                </c:pt>
                <c:pt idx="115">
                  <c:v>1.1088520285268936E-12</c:v>
                </c:pt>
                <c:pt idx="116">
                  <c:v>1.1088520285268936E-12</c:v>
                </c:pt>
                <c:pt idx="117">
                  <c:v>1.1088520285268936E-12</c:v>
                </c:pt>
                <c:pt idx="118">
                  <c:v>1.1088520285268936E-12</c:v>
                </c:pt>
                <c:pt idx="119">
                  <c:v>1.1088520285268936E-12</c:v>
                </c:pt>
                <c:pt idx="120">
                  <c:v>1.1088520285268936E-12</c:v>
                </c:pt>
                <c:pt idx="121">
                  <c:v>1.1088520285268936E-12</c:v>
                </c:pt>
                <c:pt idx="122">
                  <c:v>1.1088520285268936E-12</c:v>
                </c:pt>
                <c:pt idx="123">
                  <c:v>1.1088520285268936E-12</c:v>
                </c:pt>
                <c:pt idx="124">
                  <c:v>1.1088520285268936E-12</c:v>
                </c:pt>
                <c:pt idx="125">
                  <c:v>1.1088520285268936E-12</c:v>
                </c:pt>
                <c:pt idx="126">
                  <c:v>1.1088520285268936E-12</c:v>
                </c:pt>
                <c:pt idx="127">
                  <c:v>1.1088520285268936E-12</c:v>
                </c:pt>
                <c:pt idx="128">
                  <c:v>1.1088520285268936E-12</c:v>
                </c:pt>
                <c:pt idx="129">
                  <c:v>1.1088520285268936E-12</c:v>
                </c:pt>
                <c:pt idx="130">
                  <c:v>1.1088520285268936E-12</c:v>
                </c:pt>
                <c:pt idx="131">
                  <c:v>1.1088520285268936E-12</c:v>
                </c:pt>
                <c:pt idx="132">
                  <c:v>1.1088520285268936E-12</c:v>
                </c:pt>
                <c:pt idx="133">
                  <c:v>1.1088520285268936E-12</c:v>
                </c:pt>
                <c:pt idx="134">
                  <c:v>1.1088520285268936E-12</c:v>
                </c:pt>
                <c:pt idx="135">
                  <c:v>1.1088520285268936E-12</c:v>
                </c:pt>
                <c:pt idx="136">
                  <c:v>1.1088520285268936E-12</c:v>
                </c:pt>
                <c:pt idx="137">
                  <c:v>1.1088520285268936E-12</c:v>
                </c:pt>
                <c:pt idx="138">
                  <c:v>1.1088520285268936E-12</c:v>
                </c:pt>
                <c:pt idx="139">
                  <c:v>1.1088520285268936E-12</c:v>
                </c:pt>
                <c:pt idx="140">
                  <c:v>1.1088520285268936E-12</c:v>
                </c:pt>
                <c:pt idx="141">
                  <c:v>1.1088520285268936E-12</c:v>
                </c:pt>
                <c:pt idx="142">
                  <c:v>1.1088520285268936E-12</c:v>
                </c:pt>
                <c:pt idx="143">
                  <c:v>1.1088520285268936E-12</c:v>
                </c:pt>
                <c:pt idx="144">
                  <c:v>1.1088520285268936E-12</c:v>
                </c:pt>
                <c:pt idx="145">
                  <c:v>1.1088520285268936E-12</c:v>
                </c:pt>
                <c:pt idx="146">
                  <c:v>1.1088520285268936E-12</c:v>
                </c:pt>
                <c:pt idx="147">
                  <c:v>1.1088520285268936E-12</c:v>
                </c:pt>
                <c:pt idx="148">
                  <c:v>1.1088520285268936E-12</c:v>
                </c:pt>
                <c:pt idx="149">
                  <c:v>1.1088520285268936E-12</c:v>
                </c:pt>
                <c:pt idx="150">
                  <c:v>1.1088520285268936E-12</c:v>
                </c:pt>
                <c:pt idx="151">
                  <c:v>1.1088520285268936E-12</c:v>
                </c:pt>
                <c:pt idx="152">
                  <c:v>1.1088520285268936E-12</c:v>
                </c:pt>
                <c:pt idx="153">
                  <c:v>1.1088520285268936E-12</c:v>
                </c:pt>
                <c:pt idx="154">
                  <c:v>1.1088520285268936E-12</c:v>
                </c:pt>
                <c:pt idx="155">
                  <c:v>1.1088520285268936E-12</c:v>
                </c:pt>
                <c:pt idx="156">
                  <c:v>1.1088520285268936E-12</c:v>
                </c:pt>
                <c:pt idx="157">
                  <c:v>1.1088520285268936E-12</c:v>
                </c:pt>
                <c:pt idx="158">
                  <c:v>1.1088520285268936E-12</c:v>
                </c:pt>
                <c:pt idx="159">
                  <c:v>1.1088520285268936E-12</c:v>
                </c:pt>
                <c:pt idx="160">
                  <c:v>1.1088520285268936E-12</c:v>
                </c:pt>
                <c:pt idx="161">
                  <c:v>1.1088520285268936E-12</c:v>
                </c:pt>
                <c:pt idx="162">
                  <c:v>1.1088520285268936E-12</c:v>
                </c:pt>
                <c:pt idx="163">
                  <c:v>1.1088520285268936E-12</c:v>
                </c:pt>
                <c:pt idx="164">
                  <c:v>1.1088520285268936E-12</c:v>
                </c:pt>
                <c:pt idx="165">
                  <c:v>1.1088520285268936E-12</c:v>
                </c:pt>
                <c:pt idx="166">
                  <c:v>1.1088520285268936E-12</c:v>
                </c:pt>
                <c:pt idx="167">
                  <c:v>1.1088520285268936E-12</c:v>
                </c:pt>
                <c:pt idx="168">
                  <c:v>1.1088520285268936E-12</c:v>
                </c:pt>
                <c:pt idx="169">
                  <c:v>1.1088520285268936E-12</c:v>
                </c:pt>
                <c:pt idx="170">
                  <c:v>1.1088520285268936E-12</c:v>
                </c:pt>
                <c:pt idx="171">
                  <c:v>1.1088520285268936E-12</c:v>
                </c:pt>
                <c:pt idx="172">
                  <c:v>1.1088520285268936E-12</c:v>
                </c:pt>
                <c:pt idx="173">
                  <c:v>1.1088520285268936E-12</c:v>
                </c:pt>
                <c:pt idx="174">
                  <c:v>1.1088520285268936E-12</c:v>
                </c:pt>
                <c:pt idx="175">
                  <c:v>1.1088520285268936E-12</c:v>
                </c:pt>
                <c:pt idx="176">
                  <c:v>1.1088520285268936E-12</c:v>
                </c:pt>
                <c:pt idx="177">
                  <c:v>1.1088520285268936E-12</c:v>
                </c:pt>
                <c:pt idx="178">
                  <c:v>1.1088520285268936E-12</c:v>
                </c:pt>
                <c:pt idx="179">
                  <c:v>1.1088520285268936E-12</c:v>
                </c:pt>
                <c:pt idx="180">
                  <c:v>1.1088520285268936E-12</c:v>
                </c:pt>
                <c:pt idx="181">
                  <c:v>1.1088520285268936E-12</c:v>
                </c:pt>
                <c:pt idx="182">
                  <c:v>1.1088520285268936E-12</c:v>
                </c:pt>
                <c:pt idx="183">
                  <c:v>1.1088520285268936E-12</c:v>
                </c:pt>
                <c:pt idx="184">
                  <c:v>1.1088520285268936E-12</c:v>
                </c:pt>
                <c:pt idx="185">
                  <c:v>1.1088520285268936E-12</c:v>
                </c:pt>
                <c:pt idx="186">
                  <c:v>1.1088520285268936E-12</c:v>
                </c:pt>
                <c:pt idx="187">
                  <c:v>1.1088520285268936E-12</c:v>
                </c:pt>
                <c:pt idx="188">
                  <c:v>1.1088520285268936E-12</c:v>
                </c:pt>
                <c:pt idx="189">
                  <c:v>1.1088520285268936E-12</c:v>
                </c:pt>
                <c:pt idx="190">
                  <c:v>1.1088520285268936E-12</c:v>
                </c:pt>
                <c:pt idx="191">
                  <c:v>1.1088520285268936E-12</c:v>
                </c:pt>
                <c:pt idx="192">
                  <c:v>1.1088520285268936E-12</c:v>
                </c:pt>
                <c:pt idx="193">
                  <c:v>1.1088520285268936E-12</c:v>
                </c:pt>
                <c:pt idx="194">
                  <c:v>1.1088520285268936E-12</c:v>
                </c:pt>
                <c:pt idx="195">
                  <c:v>1.1088520285268936E-12</c:v>
                </c:pt>
                <c:pt idx="196">
                  <c:v>1.1088520285268936E-12</c:v>
                </c:pt>
                <c:pt idx="197">
                  <c:v>1.1088520285268936E-12</c:v>
                </c:pt>
                <c:pt idx="198">
                  <c:v>1.1088520285268936E-12</c:v>
                </c:pt>
                <c:pt idx="199">
                  <c:v>1.1088520285268936E-12</c:v>
                </c:pt>
                <c:pt idx="200">
                  <c:v>1.1088520285268936E-12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120.49003654699459</c:v>
                </c:pt>
                <c:pt idx="22">
                  <c:v>127.1409435652896</c:v>
                </c:pt>
                <c:pt idx="23">
                  <c:v>133.78342099832221</c:v>
                </c:pt>
                <c:pt idx="24">
                  <c:v>140.41794724133206</c:v>
                </c:pt>
                <c:pt idx="25">
                  <c:v>147.04495169244021</c:v>
                </c:pt>
                <c:pt idx="26">
                  <c:v>153.66482180332244</c:v>
                </c:pt>
                <c:pt idx="27">
                  <c:v>160.27790884848659</c:v>
                </c:pt>
                <c:pt idx="28">
                  <c:v>166.88453269044854</c:v>
                </c:pt>
                <c:pt idx="29">
                  <c:v>173.48498574926046</c:v>
                </c:pt>
                <c:pt idx="30">
                  <c:v>180.07953633511514</c:v>
                </c:pt>
                <c:pt idx="31">
                  <c:v>161.3963988836461</c:v>
                </c:pt>
                <c:pt idx="32">
                  <c:v>168.50982140403696</c:v>
                </c:pt>
                <c:pt idx="33">
                  <c:v>175.61616597279638</c:v>
                </c:pt>
                <c:pt idx="34">
                  <c:v>182.71575986748618</c:v>
                </c:pt>
                <c:pt idx="35">
                  <c:v>189.8089028116103</c:v>
                </c:pt>
                <c:pt idx="36">
                  <c:v>196.89587026062091</c:v>
                </c:pt>
                <c:pt idx="37">
                  <c:v>203.97691618927138</c:v>
                </c:pt>
                <c:pt idx="38">
                  <c:v>211.05227547104286</c:v>
                </c:pt>
                <c:pt idx="39">
                  <c:v>218.12216592131372</c:v>
                </c:pt>
                <c:pt idx="40">
                  <c:v>225.18679006138439</c:v>
                </c:pt>
                <c:pt idx="41">
                  <c:v>185.45243509395621</c:v>
                </c:pt>
                <c:pt idx="42">
                  <c:v>192.54316466070131</c:v>
                </c:pt>
                <c:pt idx="43">
                  <c:v>199.62781910044532</c:v>
                </c:pt>
                <c:pt idx="44">
                  <c:v>206.70664475823108</c:v>
                </c:pt>
                <c:pt idx="45">
                  <c:v>213.77986970233792</c:v>
                </c:pt>
                <c:pt idx="46">
                  <c:v>220.8477056536926</c:v>
                </c:pt>
                <c:pt idx="47">
                  <c:v>227.91034965501251</c:v>
                </c:pt>
                <c:pt idx="48">
                  <c:v>234.96798552194124</c:v>
                </c:pt>
                <c:pt idx="49">
                  <c:v>242.02078511048447</c:v>
                </c:pt>
                <c:pt idx="50">
                  <c:v>249.06890942879204</c:v>
                </c:pt>
                <c:pt idx="51">
                  <c:v>210.44603337328724</c:v>
                </c:pt>
                <c:pt idx="52">
                  <c:v>218.52599874468254</c:v>
                </c:pt>
                <c:pt idx="53">
                  <c:v>226.59909976948109</c:v>
                </c:pt>
                <c:pt idx="54">
                  <c:v>234.6656157923758</c:v>
                </c:pt>
                <c:pt idx="55">
                  <c:v>242.72580536134669</c:v>
                </c:pt>
                <c:pt idx="56">
                  <c:v>250.77990843042718</c:v>
                </c:pt>
                <c:pt idx="57">
                  <c:v>258.82814826436976</c:v>
                </c:pt>
                <c:pt idx="58">
                  <c:v>266.87073309376296</c:v>
                </c:pt>
                <c:pt idx="59">
                  <c:v>274.90785755999178</c:v>
                </c:pt>
                <c:pt idx="60">
                  <c:v>282.93970398221973</c:v>
                </c:pt>
                <c:pt idx="61">
                  <c:v>243.93430319999138</c:v>
                </c:pt>
                <c:pt idx="62">
                  <c:v>251.48436037421268</c:v>
                </c:pt>
                <c:pt idx="63">
                  <c:v>259.02928096815748</c:v>
                </c:pt>
                <c:pt idx="64">
                  <c:v>266.56923588073721</c:v>
                </c:pt>
                <c:pt idx="65">
                  <c:v>274.10438554233065</c:v>
                </c:pt>
                <c:pt idx="66">
                  <c:v>281.63488083258886</c:v>
                </c:pt>
                <c:pt idx="67">
                  <c:v>289.160863894849</c:v>
                </c:pt>
                <c:pt idx="68">
                  <c:v>296.68246886125024</c:v>
                </c:pt>
                <c:pt idx="69">
                  <c:v>304.19982250040647</c:v>
                </c:pt>
                <c:pt idx="70">
                  <c:v>311.71304479765791</c:v>
                </c:pt>
                <c:pt idx="71">
                  <c:v>272.99952502719981</c:v>
                </c:pt>
                <c:pt idx="72">
                  <c:v>280.73146236841148</c:v>
                </c:pt>
                <c:pt idx="73">
                  <c:v>288.45862606345253</c:v>
                </c:pt>
                <c:pt idx="74">
                  <c:v>296.18116215846925</c:v>
                </c:pt>
                <c:pt idx="75">
                  <c:v>303.89920845414628</c:v>
                </c:pt>
                <c:pt idx="76">
                  <c:v>311.6128951734467</c:v>
                </c:pt>
                <c:pt idx="77">
                  <c:v>319.3223455597273</c:v>
                </c:pt>
                <c:pt idx="78">
                  <c:v>327.02767641403034</c:v>
                </c:pt>
                <c:pt idx="79">
                  <c:v>334.72899857905378</c:v>
                </c:pt>
                <c:pt idx="80">
                  <c:v>342.42641737622415</c:v>
                </c:pt>
                <c:pt idx="81">
                  <c:v>304.40022819227744</c:v>
                </c:pt>
                <c:pt idx="82">
                  <c:v>312.71450180432913</c:v>
                </c:pt>
                <c:pt idx="83">
                  <c:v>321.02387288556099</c:v>
                </c:pt>
                <c:pt idx="84">
                  <c:v>329.32848633594546</c:v>
                </c:pt>
                <c:pt idx="85">
                  <c:v>337.62847914518375</c:v>
                </c:pt>
                <c:pt idx="86">
                  <c:v>345.92398101265036</c:v>
                </c:pt>
                <c:pt idx="87">
                  <c:v>354.21511490472858</c:v>
                </c:pt>
                <c:pt idx="88">
                  <c:v>362.50199755720956</c:v>
                </c:pt>
                <c:pt idx="89">
                  <c:v>370.78473992932794</c:v>
                </c:pt>
                <c:pt idx="90">
                  <c:v>379.06344761508905</c:v>
                </c:pt>
                <c:pt idx="91">
                  <c:v>341.12712268545346</c:v>
                </c:pt>
                <c:pt idx="92">
                  <c:v>349.42076801278273</c:v>
                </c:pt>
                <c:pt idx="93">
                  <c:v>357.71009532310563</c:v>
                </c:pt>
                <c:pt idx="94">
                  <c:v>365.99521886354137</c:v>
                </c:pt>
                <c:pt idx="95">
                  <c:v>374.27624728301316</c:v>
                </c:pt>
                <c:pt idx="96">
                  <c:v>382.55328402706982</c:v>
                </c:pt>
                <c:pt idx="97">
                  <c:v>390.82642769673799</c:v>
                </c:pt>
                <c:pt idx="98">
                  <c:v>399.09577237538946</c:v>
                </c:pt>
                <c:pt idx="99">
                  <c:v>407.36140792709375</c:v>
                </c:pt>
                <c:pt idx="100">
                  <c:v>415.62342026948232</c:v>
                </c:pt>
                <c:pt idx="101">
                  <c:v>378.1659483420201</c:v>
                </c:pt>
                <c:pt idx="102">
                  <c:v>386.83985045971798</c:v>
                </c:pt>
                <c:pt idx="103">
                  <c:v>395.50952933718435</c:v>
                </c:pt>
                <c:pt idx="104">
                  <c:v>404.17509065511155</c:v>
                </c:pt>
                <c:pt idx="105">
                  <c:v>412.83663519043193</c:v>
                </c:pt>
                <c:pt idx="106">
                  <c:v>421.49425914421028</c:v>
                </c:pt>
                <c:pt idx="107">
                  <c:v>430.14805444118133</c:v>
                </c:pt>
                <c:pt idx="108">
                  <c:v>438.7981090039205</c:v>
                </c:pt>
                <c:pt idx="109">
                  <c:v>447.44450700426086</c:v>
                </c:pt>
                <c:pt idx="110">
                  <c:v>456.08732909426044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138.49302641623669</c:v>
                </c:pt>
                <c:pt idx="32">
                  <c:v>150.33199216939713</c:v>
                </c:pt>
                <c:pt idx="33">
                  <c:v>162.1487342616247</c:v>
                </c:pt>
                <c:pt idx="34">
                  <c:v>173.94510188414429</c:v>
                </c:pt>
                <c:pt idx="35">
                  <c:v>185.72267256271468</c:v>
                </c:pt>
                <c:pt idx="36">
                  <c:v>197.48280714753739</c:v>
                </c:pt>
                <c:pt idx="37">
                  <c:v>209.22669098919391</c:v>
                </c:pt>
                <c:pt idx="38">
                  <c:v>220.95536536784508</c:v>
                </c:pt>
                <c:pt idx="39">
                  <c:v>232.66975188863589</c:v>
                </c:pt>
                <c:pt idx="40">
                  <c:v>244.37067169974901</c:v>
                </c:pt>
                <c:pt idx="41">
                  <c:v>196.1267190058785</c:v>
                </c:pt>
                <c:pt idx="42">
                  <c:v>208.77529065102974</c:v>
                </c:pt>
                <c:pt idx="43">
                  <c:v>221.40617734460454</c:v>
                </c:pt>
                <c:pt idx="44">
                  <c:v>234.02053062563991</c:v>
                </c:pt>
                <c:pt idx="45">
                  <c:v>246.61936765788826</c:v>
                </c:pt>
                <c:pt idx="46">
                  <c:v>259.20359312218585</c:v>
                </c:pt>
                <c:pt idx="47">
                  <c:v>271.77401662995698</c:v>
                </c:pt>
                <c:pt idx="48">
                  <c:v>284.33136674322265</c:v>
                </c:pt>
                <c:pt idx="49">
                  <c:v>296.87630238617857</c:v>
                </c:pt>
                <c:pt idx="50">
                  <c:v>309.40942222562165</c:v>
                </c:pt>
                <c:pt idx="51">
                  <c:v>258.97899812332048</c:v>
                </c:pt>
                <c:pt idx="52">
                  <c:v>271.32530216470741</c:v>
                </c:pt>
                <c:pt idx="53">
                  <c:v>283.65897186507397</c:v>
                </c:pt>
                <c:pt idx="54">
                  <c:v>295.98063417932593</c:v>
                </c:pt>
                <c:pt idx="55">
                  <c:v>308.2908595772434</c:v>
                </c:pt>
                <c:pt idx="56">
                  <c:v>320.59016923293353</c:v>
                </c:pt>
                <c:pt idx="57">
                  <c:v>332.87904105272355</c:v>
                </c:pt>
                <c:pt idx="58">
                  <c:v>345.15791476599003</c:v>
                </c:pt>
                <c:pt idx="59">
                  <c:v>357.42719625343142</c:v>
                </c:pt>
                <c:pt idx="60">
                  <c:v>369.68726124979736</c:v>
                </c:pt>
                <c:pt idx="61">
                  <c:v>318.80183833443056</c:v>
                </c:pt>
                <c:pt idx="62">
                  <c:v>330.42208009579673</c:v>
                </c:pt>
                <c:pt idx="63">
                  <c:v>342.03330890235503</c:v>
                </c:pt>
                <c:pt idx="64">
                  <c:v>353.63587394127984</c:v>
                </c:pt>
                <c:pt idx="65">
                  <c:v>365.23009960908348</c:v>
                </c:pt>
                <c:pt idx="66">
                  <c:v>376.81628801954662</c:v>
                </c:pt>
                <c:pt idx="67">
                  <c:v>388.39472118701133</c:v>
                </c:pt>
                <c:pt idx="68">
                  <c:v>399.96566293568094</c:v>
                </c:pt>
                <c:pt idx="69">
                  <c:v>411.5293605764063</c:v>
                </c:pt>
                <c:pt idx="70">
                  <c:v>423.08604638514583</c:v>
                </c:pt>
                <c:pt idx="71">
                  <c:v>371.469796742867</c:v>
                </c:pt>
                <c:pt idx="72">
                  <c:v>382.16112754551045</c:v>
                </c:pt>
                <c:pt idx="73">
                  <c:v>392.84595610051491</c:v>
                </c:pt>
                <c:pt idx="74">
                  <c:v>403.524484243328</c:v>
                </c:pt>
                <c:pt idx="75">
                  <c:v>414.19690225230147</c:v>
                </c:pt>
                <c:pt idx="76">
                  <c:v>424.8633897975663</c:v>
                </c:pt>
                <c:pt idx="77">
                  <c:v>435.52411678963404</c:v>
                </c:pt>
                <c:pt idx="78">
                  <c:v>446.1792441405675</c:v>
                </c:pt>
                <c:pt idx="79">
                  <c:v>456.82892444864393</c:v>
                </c:pt>
                <c:pt idx="80">
                  <c:v>467.47330261584369</c:v>
                </c:pt>
                <c:pt idx="81">
                  <c:v>414.86372965755805</c:v>
                </c:pt>
                <c:pt idx="82">
                  <c:v>424.41906897390385</c:v>
                </c:pt>
                <c:pt idx="83">
                  <c:v>433.96977993211812</c:v>
                </c:pt>
                <c:pt idx="84">
                  <c:v>443.5159787879158</c:v>
                </c:pt>
                <c:pt idx="85">
                  <c:v>453.05777638262111</c:v>
                </c:pt>
                <c:pt idx="86">
                  <c:v>462.59527850651199</c:v>
                </c:pt>
                <c:pt idx="87">
                  <c:v>472.12858623063352</c:v>
                </c:pt>
                <c:pt idx="88">
                  <c:v>481.6577962104131</c:v>
                </c:pt>
                <c:pt idx="89">
                  <c:v>491.18300096399406</c:v>
                </c:pt>
                <c:pt idx="90">
                  <c:v>500.7042891278532</c:v>
                </c:pt>
                <c:pt idx="91">
                  <c:v>446.84500720019031</c:v>
                </c:pt>
                <c:pt idx="92">
                  <c:v>455.0543497568994</c:v>
                </c:pt>
                <c:pt idx="93">
                  <c:v>463.26052796463642</c:v>
                </c:pt>
                <c:pt idx="94">
                  <c:v>471.46360580465716</c:v>
                </c:pt>
                <c:pt idx="95">
                  <c:v>479.66364484928073</c:v>
                </c:pt>
                <c:pt idx="96">
                  <c:v>487.86070439311379</c:v>
                </c:pt>
                <c:pt idx="97">
                  <c:v>496.05484157499558</c:v>
                </c:pt>
                <c:pt idx="98">
                  <c:v>504.24611149146449</c:v>
                </c:pt>
                <c:pt idx="99">
                  <c:v>512.43456730246589</c:v>
                </c:pt>
                <c:pt idx="100">
                  <c:v>520.62026032995107</c:v>
                </c:pt>
                <c:pt idx="101">
                  <c:v>465.47787915004091</c:v>
                </c:pt>
                <c:pt idx="102">
                  <c:v>472.35024193902171</c:v>
                </c:pt>
                <c:pt idx="103">
                  <c:v>479.22047619274525</c:v>
                </c:pt>
                <c:pt idx="104">
                  <c:v>486.08861674682527</c:v>
                </c:pt>
                <c:pt idx="105">
                  <c:v>492.95469737165951</c:v>
                </c:pt>
                <c:pt idx="106">
                  <c:v>499.81875081970998</c:v>
                </c:pt>
                <c:pt idx="107">
                  <c:v>506.68080887005272</c:v>
                </c:pt>
                <c:pt idx="108">
                  <c:v>513.54090237038565</c:v>
                </c:pt>
                <c:pt idx="109">
                  <c:v>520.3990612766753</c:v>
                </c:pt>
                <c:pt idx="110">
                  <c:v>527.25531469060411</c:v>
                </c:pt>
                <c:pt idx="111">
                  <c:v>473.68012971962662</c:v>
                </c:pt>
                <c:pt idx="112">
                  <c:v>479.88522591256009</c:v>
                </c:pt>
                <c:pt idx="113">
                  <c:v>486.08861674682527</c:v>
                </c:pt>
                <c:pt idx="114">
                  <c:v>492.29032706882913</c:v>
                </c:pt>
                <c:pt idx="115">
                  <c:v>498.49038104754027</c:v>
                </c:pt>
                <c:pt idx="116">
                  <c:v>504.68880220134207</c:v>
                </c:pt>
                <c:pt idx="117">
                  <c:v>510.88561342349607</c:v>
                </c:pt>
                <c:pt idx="118">
                  <c:v>517.0808370063063</c:v>
                </c:pt>
                <c:pt idx="119">
                  <c:v>523.27449466406392</c:v>
                </c:pt>
                <c:pt idx="120">
                  <c:v>529.46660755485038</c:v>
                </c:pt>
                <c:pt idx="121">
                  <c:v>9.4695288984349312E-13</c:v>
                </c:pt>
                <c:pt idx="122">
                  <c:v>9.4695288984349312E-13</c:v>
                </c:pt>
                <c:pt idx="123">
                  <c:v>9.4695288984349312E-13</c:v>
                </c:pt>
                <c:pt idx="124">
                  <c:v>9.4695288984349312E-13</c:v>
                </c:pt>
                <c:pt idx="125">
                  <c:v>9.4695288984349312E-13</c:v>
                </c:pt>
                <c:pt idx="126">
                  <c:v>9.4695288984349312E-13</c:v>
                </c:pt>
                <c:pt idx="127">
                  <c:v>9.4695288984349312E-13</c:v>
                </c:pt>
                <c:pt idx="128">
                  <c:v>9.4695288984349312E-13</c:v>
                </c:pt>
                <c:pt idx="129">
                  <c:v>9.4695288984349312E-13</c:v>
                </c:pt>
                <c:pt idx="130">
                  <c:v>9.4695288984349312E-13</c:v>
                </c:pt>
                <c:pt idx="131">
                  <c:v>9.4695288984349312E-13</c:v>
                </c:pt>
                <c:pt idx="132">
                  <c:v>9.4695288984349312E-13</c:v>
                </c:pt>
                <c:pt idx="133">
                  <c:v>9.4695288984349312E-13</c:v>
                </c:pt>
                <c:pt idx="134">
                  <c:v>9.4695288984349312E-13</c:v>
                </c:pt>
                <c:pt idx="135">
                  <c:v>9.4695288984349312E-13</c:v>
                </c:pt>
                <c:pt idx="136">
                  <c:v>9.4695288984349312E-13</c:v>
                </c:pt>
                <c:pt idx="137">
                  <c:v>9.4695288984349312E-13</c:v>
                </c:pt>
                <c:pt idx="138">
                  <c:v>9.4695288984349312E-13</c:v>
                </c:pt>
                <c:pt idx="139">
                  <c:v>9.4695288984349312E-13</c:v>
                </c:pt>
                <c:pt idx="140">
                  <c:v>9.4695288984349312E-13</c:v>
                </c:pt>
                <c:pt idx="141">
                  <c:v>9.4695288984349312E-13</c:v>
                </c:pt>
                <c:pt idx="142">
                  <c:v>9.4695288984349312E-13</c:v>
                </c:pt>
                <c:pt idx="143">
                  <c:v>9.4695288984349312E-13</c:v>
                </c:pt>
                <c:pt idx="144">
                  <c:v>9.4695288984349312E-13</c:v>
                </c:pt>
                <c:pt idx="145">
                  <c:v>9.4695288984349312E-13</c:v>
                </c:pt>
                <c:pt idx="146">
                  <c:v>9.4695288984349312E-13</c:v>
                </c:pt>
                <c:pt idx="147">
                  <c:v>9.4695288984349312E-13</c:v>
                </c:pt>
                <c:pt idx="148">
                  <c:v>9.4695288984349312E-13</c:v>
                </c:pt>
                <c:pt idx="149">
                  <c:v>9.4695288984349312E-13</c:v>
                </c:pt>
                <c:pt idx="150">
                  <c:v>9.4695288984349312E-13</c:v>
                </c:pt>
                <c:pt idx="151">
                  <c:v>9.4695288984349312E-13</c:v>
                </c:pt>
                <c:pt idx="152">
                  <c:v>9.4695288984349312E-13</c:v>
                </c:pt>
                <c:pt idx="153">
                  <c:v>9.4695288984349312E-13</c:v>
                </c:pt>
                <c:pt idx="154">
                  <c:v>9.4695288984349312E-13</c:v>
                </c:pt>
                <c:pt idx="155">
                  <c:v>9.4695288984349312E-13</c:v>
                </c:pt>
                <c:pt idx="156">
                  <c:v>9.4695288984349312E-13</c:v>
                </c:pt>
                <c:pt idx="157">
                  <c:v>9.4695288984349312E-13</c:v>
                </c:pt>
                <c:pt idx="158">
                  <c:v>9.4695288984349312E-13</c:v>
                </c:pt>
                <c:pt idx="159">
                  <c:v>9.4695288984349312E-13</c:v>
                </c:pt>
                <c:pt idx="160">
                  <c:v>9.4695288984349312E-13</c:v>
                </c:pt>
                <c:pt idx="161">
                  <c:v>9.4695288984349312E-13</c:v>
                </c:pt>
                <c:pt idx="162">
                  <c:v>9.4695288984349312E-13</c:v>
                </c:pt>
                <c:pt idx="163">
                  <c:v>9.4695288984349312E-13</c:v>
                </c:pt>
                <c:pt idx="164">
                  <c:v>9.4695288984349312E-13</c:v>
                </c:pt>
                <c:pt idx="165">
                  <c:v>9.4695288984349312E-13</c:v>
                </c:pt>
                <c:pt idx="166">
                  <c:v>9.4695288984349312E-13</c:v>
                </c:pt>
                <c:pt idx="167">
                  <c:v>9.4695288984349312E-13</c:v>
                </c:pt>
                <c:pt idx="168">
                  <c:v>9.4695288984349312E-13</c:v>
                </c:pt>
                <c:pt idx="169">
                  <c:v>9.4695288984349312E-13</c:v>
                </c:pt>
                <c:pt idx="170">
                  <c:v>9.4695288984349312E-13</c:v>
                </c:pt>
                <c:pt idx="171">
                  <c:v>9.4695288984349312E-13</c:v>
                </c:pt>
                <c:pt idx="172">
                  <c:v>9.4695288984349312E-13</c:v>
                </c:pt>
                <c:pt idx="173">
                  <c:v>9.4695288984349312E-13</c:v>
                </c:pt>
                <c:pt idx="174">
                  <c:v>9.4695288984349312E-13</c:v>
                </c:pt>
                <c:pt idx="175">
                  <c:v>9.4695288984349312E-13</c:v>
                </c:pt>
                <c:pt idx="176">
                  <c:v>9.4695288984349312E-13</c:v>
                </c:pt>
                <c:pt idx="177">
                  <c:v>9.4695288984349312E-13</c:v>
                </c:pt>
                <c:pt idx="178">
                  <c:v>9.4695288984349312E-13</c:v>
                </c:pt>
                <c:pt idx="179">
                  <c:v>9.4695288984349312E-13</c:v>
                </c:pt>
                <c:pt idx="180">
                  <c:v>9.4695288984349312E-13</c:v>
                </c:pt>
                <c:pt idx="181">
                  <c:v>9.4695288984349312E-13</c:v>
                </c:pt>
                <c:pt idx="182">
                  <c:v>9.4695288984349312E-13</c:v>
                </c:pt>
                <c:pt idx="183">
                  <c:v>9.4695288984349312E-13</c:v>
                </c:pt>
                <c:pt idx="184">
                  <c:v>9.4695288984349312E-13</c:v>
                </c:pt>
                <c:pt idx="185">
                  <c:v>9.4695288984349312E-13</c:v>
                </c:pt>
                <c:pt idx="186">
                  <c:v>9.4695288984349312E-13</c:v>
                </c:pt>
                <c:pt idx="187">
                  <c:v>9.4695288984349312E-13</c:v>
                </c:pt>
                <c:pt idx="188">
                  <c:v>9.4695288984349312E-13</c:v>
                </c:pt>
                <c:pt idx="189">
                  <c:v>9.4695288984349312E-13</c:v>
                </c:pt>
                <c:pt idx="190">
                  <c:v>9.4695288984349312E-13</c:v>
                </c:pt>
                <c:pt idx="191">
                  <c:v>9.4695288984349312E-13</c:v>
                </c:pt>
                <c:pt idx="192">
                  <c:v>9.4695288984349312E-13</c:v>
                </c:pt>
                <c:pt idx="193">
                  <c:v>9.4695288984349312E-13</c:v>
                </c:pt>
                <c:pt idx="194">
                  <c:v>9.4695288984349312E-13</c:v>
                </c:pt>
                <c:pt idx="195">
                  <c:v>9.4695288984349312E-13</c:v>
                </c:pt>
                <c:pt idx="196">
                  <c:v>9.4695288984349312E-13</c:v>
                </c:pt>
                <c:pt idx="197">
                  <c:v>9.4695288984349312E-13</c:v>
                </c:pt>
                <c:pt idx="198">
                  <c:v>9.4695288984349312E-13</c:v>
                </c:pt>
                <c:pt idx="199">
                  <c:v>9.4695288984349312E-13</c:v>
                </c:pt>
                <c:pt idx="200">
                  <c:v>9.4695288984349312E-13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1.543209846573063</c:v>
                </c:pt>
                <c:pt idx="2">
                  <c:v>1.8931270034990766</c:v>
                </c:pt>
                <c:pt idx="3">
                  <c:v>2.3226972068244187</c:v>
                </c:pt>
                <c:pt idx="4">
                  <c:v>2.8501191400066332</c:v>
                </c:pt>
                <c:pt idx="5">
                  <c:v>3.4977637902213932</c:v>
                </c:pt>
                <c:pt idx="6">
                  <c:v>4.2931340810336343</c:v>
                </c:pt>
                <c:pt idx="7">
                  <c:v>5.2700458763142404</c:v>
                </c:pt>
                <c:pt idx="8">
                  <c:v>6.4700815612336875</c:v>
                </c:pt>
                <c:pt idx="9">
                  <c:v>7.9443792801710416</c:v>
                </c:pt>
                <c:pt idx="10">
                  <c:v>9.7558355450491874</c:v>
                </c:pt>
                <c:pt idx="11">
                  <c:v>11.981816963637812</c:v>
                </c:pt>
                <c:pt idx="12">
                  <c:v>14.717499068398817</c:v>
                </c:pt>
                <c:pt idx="13">
                  <c:v>18.07997763012369</c:v>
                </c:pt>
                <c:pt idx="14">
                  <c:v>22.213331622810383</c:v>
                </c:pt>
                <c:pt idx="15">
                  <c:v>27.294858654442084</c:v>
                </c:pt>
                <c:pt idx="16">
                  <c:v>33.542755027534618</c:v>
                </c:pt>
                <c:pt idx="17">
                  <c:v>41.225575907264208</c:v>
                </c:pt>
                <c:pt idx="18">
                  <c:v>50.673889146538166</c:v>
                </c:pt>
                <c:pt idx="19">
                  <c:v>62.29463259236838</c:v>
                </c:pt>
                <c:pt idx="20">
                  <c:v>76.588803428045381</c:v>
                </c:pt>
                <c:pt idx="21">
                  <c:v>96.748201162142621</c:v>
                </c:pt>
                <c:pt idx="22">
                  <c:v>116.8026363404107</c:v>
                </c:pt>
                <c:pt idx="23">
                  <c:v>136.77275046012139</c:v>
                </c:pt>
                <c:pt idx="24">
                  <c:v>156.67261914934736</c:v>
                </c:pt>
                <c:pt idx="25">
                  <c:v>176.51243283769338</c:v>
                </c:pt>
                <c:pt idx="26">
                  <c:v>196.29989659034709</c:v>
                </c:pt>
                <c:pt idx="27">
                  <c:v>216.04103178653338</c:v>
                </c:pt>
                <c:pt idx="28">
                  <c:v>235.74066784528793</c:v>
                </c:pt>
                <c:pt idx="29">
                  <c:v>255.40276031425742</c:v>
                </c:pt>
                <c:pt idx="30">
                  <c:v>275.03060557796795</c:v>
                </c:pt>
                <c:pt idx="31">
                  <c:v>227.65819966268168</c:v>
                </c:pt>
                <c:pt idx="32">
                  <c:v>248.5768081265179</c:v>
                </c:pt>
                <c:pt idx="33">
                  <c:v>269.45547844836511</c:v>
                </c:pt>
                <c:pt idx="34">
                  <c:v>290.29773958159905</c:v>
                </c:pt>
                <c:pt idx="35">
                  <c:v>311.10657224324092</c:v>
                </c:pt>
                <c:pt idx="36">
                  <c:v>331.88452583698489</c:v>
                </c:pt>
                <c:pt idx="37">
                  <c:v>352.63380452820792</c:v>
                </c:pt>
                <c:pt idx="38">
                  <c:v>373.35633198287354</c:v>
                </c:pt>
                <c:pt idx="39">
                  <c:v>394.05380097365111</c:v>
                </c:pt>
                <c:pt idx="40">
                  <c:v>414.72771201550307</c:v>
                </c:pt>
                <c:pt idx="41">
                  <c:v>333.94015543739573</c:v>
                </c:pt>
                <c:pt idx="42">
                  <c:v>353.66028681516491</c:v>
                </c:pt>
                <c:pt idx="43">
                  <c:v>373.35633198287337</c:v>
                </c:pt>
                <c:pt idx="44">
                  <c:v>393.02973970258654</c:v>
                </c:pt>
                <c:pt idx="45">
                  <c:v>412.68180191993201</c:v>
                </c:pt>
                <c:pt idx="46">
                  <c:v>432.31367755114564</c:v>
                </c:pt>
                <c:pt idx="47">
                  <c:v>451.92641172379848</c:v>
                </c:pt>
                <c:pt idx="48">
                  <c:v>471.5209515036068</c:v>
                </c:pt>
                <c:pt idx="49">
                  <c:v>491.09815887130026</c:v>
                </c:pt>
                <c:pt idx="50">
                  <c:v>510.65882152300293</c:v>
                </c:pt>
                <c:pt idx="51">
                  <c:v>428.32753438228252</c:v>
                </c:pt>
                <c:pt idx="52">
                  <c:v>446.00369113404878</c:v>
                </c:pt>
                <c:pt idx="53">
                  <c:v>463.66485287394136</c:v>
                </c:pt>
                <c:pt idx="54">
                  <c:v>481.31167088067355</c:v>
                </c:pt>
                <c:pt idx="55">
                  <c:v>498.94474480501361</c:v>
                </c:pt>
                <c:pt idx="56">
                  <c:v>516.56462847980106</c:v>
                </c:pt>
                <c:pt idx="57">
                  <c:v>534.17183489626336</c:v>
                </c:pt>
                <c:pt idx="58">
                  <c:v>551.7668404903385</c:v>
                </c:pt>
                <c:pt idx="59">
                  <c:v>569.35008885406353</c:v>
                </c:pt>
                <c:pt idx="60">
                  <c:v>586.92199396486865</c:v>
                </c:pt>
                <c:pt idx="61">
                  <c:v>505.87202351750028</c:v>
                </c:pt>
                <c:pt idx="62">
                  <c:v>521.45111470089739</c:v>
                </c:pt>
                <c:pt idx="63">
                  <c:v>537.02039698297347</c:v>
                </c:pt>
                <c:pt idx="64">
                  <c:v>552.5801946628734</c:v>
                </c:pt>
                <c:pt idx="65">
                  <c:v>568.13081229593536</c:v>
                </c:pt>
                <c:pt idx="66">
                  <c:v>583.67253641440209</c:v>
                </c:pt>
                <c:pt idx="67">
                  <c:v>599.2056370554144</c:v>
                </c:pt>
                <c:pt idx="68">
                  <c:v>614.73036912240661</c:v>
                </c:pt>
                <c:pt idx="69">
                  <c:v>630.24697360189998</c:v>
                </c:pt>
                <c:pt idx="70">
                  <c:v>645.75567865431015</c:v>
                </c:pt>
                <c:pt idx="71">
                  <c:v>580.11801026374542</c:v>
                </c:pt>
                <c:pt idx="72">
                  <c:v>593.62281914234006</c:v>
                </c:pt>
                <c:pt idx="73">
                  <c:v>607.1212365471323</c:v>
                </c:pt>
                <c:pt idx="74">
                  <c:v>620.61342454410953</c:v>
                </c:pt>
                <c:pt idx="75">
                  <c:v>634.09953758126471</c:v>
                </c:pt>
                <c:pt idx="76">
                  <c:v>647.5797230044642</c:v>
                </c:pt>
                <c:pt idx="77">
                  <c:v>661.05412152814836</c:v>
                </c:pt>
                <c:pt idx="78">
                  <c:v>674.52286766568147</c:v>
                </c:pt>
                <c:pt idx="79">
                  <c:v>687.98609012356519</c:v>
                </c:pt>
                <c:pt idx="80">
                  <c:v>701.44391216320446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1.543209846573063</c:v>
                </c:pt>
                <c:pt idx="2">
                  <c:v>1.8931270034990766</c:v>
                </c:pt>
                <c:pt idx="3">
                  <c:v>2.3226972068244187</c:v>
                </c:pt>
                <c:pt idx="4">
                  <c:v>2.8501191400066332</c:v>
                </c:pt>
                <c:pt idx="5">
                  <c:v>3.4977637902213932</c:v>
                </c:pt>
                <c:pt idx="6">
                  <c:v>4.2931340810336343</c:v>
                </c:pt>
                <c:pt idx="7">
                  <c:v>5.2700458763142404</c:v>
                </c:pt>
                <c:pt idx="8">
                  <c:v>6.4700815612336875</c:v>
                </c:pt>
                <c:pt idx="9">
                  <c:v>7.9443792801710416</c:v>
                </c:pt>
                <c:pt idx="10">
                  <c:v>9.7558355450491874</c:v>
                </c:pt>
                <c:pt idx="11">
                  <c:v>11.981816963637812</c:v>
                </c:pt>
                <c:pt idx="12">
                  <c:v>14.717499068398817</c:v>
                </c:pt>
                <c:pt idx="13">
                  <c:v>18.07997763012369</c:v>
                </c:pt>
                <c:pt idx="14">
                  <c:v>22.213331622810383</c:v>
                </c:pt>
                <c:pt idx="15">
                  <c:v>27.294858654442084</c:v>
                </c:pt>
                <c:pt idx="16">
                  <c:v>33.542755027534618</c:v>
                </c:pt>
                <c:pt idx="17">
                  <c:v>41.225575907264208</c:v>
                </c:pt>
                <c:pt idx="18">
                  <c:v>50.673889146538166</c:v>
                </c:pt>
                <c:pt idx="19">
                  <c:v>62.29463259236838</c:v>
                </c:pt>
                <c:pt idx="20">
                  <c:v>76.588803428045381</c:v>
                </c:pt>
                <c:pt idx="21">
                  <c:v>96.748201162142621</c:v>
                </c:pt>
                <c:pt idx="22">
                  <c:v>116.8026363404107</c:v>
                </c:pt>
                <c:pt idx="23">
                  <c:v>136.77275046012139</c:v>
                </c:pt>
                <c:pt idx="24">
                  <c:v>156.67261914934736</c:v>
                </c:pt>
                <c:pt idx="25">
                  <c:v>176.51243283769338</c:v>
                </c:pt>
                <c:pt idx="26">
                  <c:v>196.29989659034709</c:v>
                </c:pt>
                <c:pt idx="27">
                  <c:v>216.04103178653338</c:v>
                </c:pt>
                <c:pt idx="28">
                  <c:v>235.74066784528793</c:v>
                </c:pt>
                <c:pt idx="29">
                  <c:v>255.40276031425742</c:v>
                </c:pt>
                <c:pt idx="30">
                  <c:v>275.03060557796795</c:v>
                </c:pt>
                <c:pt idx="31">
                  <c:v>227.65819966268168</c:v>
                </c:pt>
                <c:pt idx="32">
                  <c:v>248.5768081265179</c:v>
                </c:pt>
                <c:pt idx="33">
                  <c:v>269.45547844836511</c:v>
                </c:pt>
                <c:pt idx="34">
                  <c:v>290.29773958159905</c:v>
                </c:pt>
                <c:pt idx="35">
                  <c:v>311.10657224324092</c:v>
                </c:pt>
                <c:pt idx="36">
                  <c:v>331.88452583698489</c:v>
                </c:pt>
                <c:pt idx="37">
                  <c:v>352.63380452820792</c:v>
                </c:pt>
                <c:pt idx="38">
                  <c:v>373.35633198287354</c:v>
                </c:pt>
                <c:pt idx="39">
                  <c:v>394.05380097365111</c:v>
                </c:pt>
                <c:pt idx="40">
                  <c:v>414.72771201550307</c:v>
                </c:pt>
                <c:pt idx="41">
                  <c:v>333.94015543739573</c:v>
                </c:pt>
                <c:pt idx="42">
                  <c:v>353.66028681516491</c:v>
                </c:pt>
                <c:pt idx="43">
                  <c:v>373.35633198287337</c:v>
                </c:pt>
                <c:pt idx="44">
                  <c:v>393.02973970258654</c:v>
                </c:pt>
                <c:pt idx="45">
                  <c:v>412.68180191993201</c:v>
                </c:pt>
                <c:pt idx="46">
                  <c:v>432.31367755114564</c:v>
                </c:pt>
                <c:pt idx="47">
                  <c:v>451.92641172379848</c:v>
                </c:pt>
                <c:pt idx="48">
                  <c:v>471.5209515036068</c:v>
                </c:pt>
                <c:pt idx="49">
                  <c:v>491.09815887130026</c:v>
                </c:pt>
                <c:pt idx="50">
                  <c:v>510.65882152300293</c:v>
                </c:pt>
                <c:pt idx="51">
                  <c:v>428.32753438228252</c:v>
                </c:pt>
                <c:pt idx="52">
                  <c:v>446.00369113404878</c:v>
                </c:pt>
                <c:pt idx="53">
                  <c:v>463.66485287394136</c:v>
                </c:pt>
                <c:pt idx="54">
                  <c:v>481.31167088067355</c:v>
                </c:pt>
                <c:pt idx="55">
                  <c:v>498.94474480501361</c:v>
                </c:pt>
                <c:pt idx="56">
                  <c:v>516.56462847980106</c:v>
                </c:pt>
                <c:pt idx="57">
                  <c:v>534.17183489626336</c:v>
                </c:pt>
                <c:pt idx="58">
                  <c:v>551.7668404903385</c:v>
                </c:pt>
                <c:pt idx="59">
                  <c:v>569.35008885406353</c:v>
                </c:pt>
                <c:pt idx="60">
                  <c:v>586.92199396486865</c:v>
                </c:pt>
                <c:pt idx="61">
                  <c:v>505.87202351750028</c:v>
                </c:pt>
                <c:pt idx="62">
                  <c:v>521.45111470089739</c:v>
                </c:pt>
                <c:pt idx="63">
                  <c:v>537.02039698297347</c:v>
                </c:pt>
                <c:pt idx="64">
                  <c:v>552.5801946628734</c:v>
                </c:pt>
                <c:pt idx="65">
                  <c:v>568.13081229593536</c:v>
                </c:pt>
                <c:pt idx="66">
                  <c:v>583.67253641440209</c:v>
                </c:pt>
                <c:pt idx="67">
                  <c:v>599.2056370554144</c:v>
                </c:pt>
                <c:pt idx="68">
                  <c:v>614.73036912240661</c:v>
                </c:pt>
                <c:pt idx="69">
                  <c:v>630.24697360189998</c:v>
                </c:pt>
                <c:pt idx="70">
                  <c:v>645.75567865431015</c:v>
                </c:pt>
                <c:pt idx="71">
                  <c:v>580.11801026374542</c:v>
                </c:pt>
                <c:pt idx="72">
                  <c:v>593.62281914234006</c:v>
                </c:pt>
                <c:pt idx="73">
                  <c:v>607.1212365471323</c:v>
                </c:pt>
                <c:pt idx="74">
                  <c:v>620.61342454410953</c:v>
                </c:pt>
                <c:pt idx="75">
                  <c:v>634.09953758126471</c:v>
                </c:pt>
                <c:pt idx="76">
                  <c:v>647.5797230044642</c:v>
                </c:pt>
                <c:pt idx="77">
                  <c:v>661.05412152814836</c:v>
                </c:pt>
                <c:pt idx="78">
                  <c:v>674.52286766568147</c:v>
                </c:pt>
                <c:pt idx="79">
                  <c:v>687.98609012356519</c:v>
                </c:pt>
                <c:pt idx="80">
                  <c:v>701.44391216320446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2.0078204006093454</c:v>
                </c:pt>
                <c:pt idx="2">
                  <c:v>2.599584462434867</c:v>
                </c:pt>
                <c:pt idx="3">
                  <c:v>3.3664668410228042</c:v>
                </c:pt>
                <c:pt idx="4">
                  <c:v>4.3604872386698723</c:v>
                </c:pt>
                <c:pt idx="5">
                  <c:v>5.6491730114405536</c:v>
                </c:pt>
                <c:pt idx="6">
                  <c:v>7.3201973988275313</c:v>
                </c:pt>
                <c:pt idx="7">
                  <c:v>9.4874092176840534</c:v>
                </c:pt>
                <c:pt idx="8">
                  <c:v>12.298672614544188</c:v>
                </c:pt>
                <c:pt idx="9">
                  <c:v>15.946061713233563</c:v>
                </c:pt>
                <c:pt idx="10">
                  <c:v>20.679119397466433</c:v>
                </c:pt>
                <c:pt idx="11">
                  <c:v>26.822103589400299</c:v>
                </c:pt>
                <c:pt idx="12">
                  <c:v>34.796423290800711</c:v>
                </c:pt>
                <c:pt idx="13">
                  <c:v>46.234119941610061</c:v>
                </c:pt>
                <c:pt idx="14">
                  <c:v>57.595727469096431</c:v>
                </c:pt>
                <c:pt idx="15">
                  <c:v>68.898503230689343</c:v>
                </c:pt>
                <c:pt idx="16">
                  <c:v>80.153509810179131</c:v>
                </c:pt>
                <c:pt idx="17">
                  <c:v>82.795684713351179</c:v>
                </c:pt>
                <c:pt idx="18">
                  <c:v>95.976042454744359</c:v>
                </c:pt>
                <c:pt idx="19">
                  <c:v>109.11127889310849</c:v>
                </c:pt>
                <c:pt idx="20">
                  <c:v>122.20760219903367</c:v>
                </c:pt>
                <c:pt idx="21">
                  <c:v>118.28248521778211</c:v>
                </c:pt>
                <c:pt idx="22">
                  <c:v>132.65988081821206</c:v>
                </c:pt>
                <c:pt idx="23">
                  <c:v>146.99966348541213</c:v>
                </c:pt>
                <c:pt idx="24">
                  <c:v>161.30602268756169</c:v>
                </c:pt>
                <c:pt idx="25">
                  <c:v>149.92856259907052</c:v>
                </c:pt>
                <c:pt idx="26">
                  <c:v>164.55317012699555</c:v>
                </c:pt>
                <c:pt idx="27">
                  <c:v>179.14706633212708</c:v>
                </c:pt>
                <c:pt idx="28">
                  <c:v>193.71310674706146</c:v>
                </c:pt>
                <c:pt idx="29">
                  <c:v>179.0390690118401</c:v>
                </c:pt>
                <c:pt idx="30">
                  <c:v>194.14429388357817</c:v>
                </c:pt>
                <c:pt idx="31">
                  <c:v>209.22219955438302</c:v>
                </c:pt>
                <c:pt idx="32">
                  <c:v>224.27503265620331</c:v>
                </c:pt>
                <c:pt idx="33">
                  <c:v>239.30471336312061</c:v>
                </c:pt>
                <c:pt idx="34">
                  <c:v>254.31290079767018</c:v>
                </c:pt>
                <c:pt idx="35">
                  <c:v>218.25677877090325</c:v>
                </c:pt>
                <c:pt idx="36">
                  <c:v>231.14851118928985</c:v>
                </c:pt>
                <c:pt idx="37">
                  <c:v>244.02381613322609</c:v>
                </c:pt>
                <c:pt idx="38">
                  <c:v>256.88368281077408</c:v>
                </c:pt>
                <c:pt idx="39">
                  <c:v>269.728993242081</c:v>
                </c:pt>
                <c:pt idx="40">
                  <c:v>282.5605385349478</c:v>
                </c:pt>
                <c:pt idx="41">
                  <c:v>252.17013304454611</c:v>
                </c:pt>
                <c:pt idx="42">
                  <c:v>261.59527644833923</c:v>
                </c:pt>
                <c:pt idx="43">
                  <c:v>271.01275486164383</c:v>
                </c:pt>
                <c:pt idx="44">
                  <c:v>280.42287240988907</c:v>
                </c:pt>
                <c:pt idx="45">
                  <c:v>289.82591112395897</c:v>
                </c:pt>
                <c:pt idx="46">
                  <c:v>299.2221332257389</c:v>
                </c:pt>
                <c:pt idx="47">
                  <c:v>276.3068331591748</c:v>
                </c:pt>
                <c:pt idx="48">
                  <c:v>282.88115712017401</c:v>
                </c:pt>
                <c:pt idx="49">
                  <c:v>289.45205847098617</c:v>
                </c:pt>
                <c:pt idx="50">
                  <c:v>296.01962596813172</c:v>
                </c:pt>
                <c:pt idx="51">
                  <c:v>302.58394410348018</c:v>
                </c:pt>
                <c:pt idx="52">
                  <c:v>309.14509339930686</c:v>
                </c:pt>
                <c:pt idx="53">
                  <c:v>315.70315067697044</c:v>
                </c:pt>
                <c:pt idx="54">
                  <c:v>322.25818930207646</c:v>
                </c:pt>
                <c:pt idx="55">
                  <c:v>296.82032489091381</c:v>
                </c:pt>
                <c:pt idx="56">
                  <c:v>299.54234179499872</c:v>
                </c:pt>
                <c:pt idx="57">
                  <c:v>302.26380761935292</c:v>
                </c:pt>
                <c:pt idx="58">
                  <c:v>304.98472803598753</c:v>
                </c:pt>
                <c:pt idx="59">
                  <c:v>307.70510860725182</c:v>
                </c:pt>
                <c:pt idx="60">
                  <c:v>310.4249547889259</c:v>
                </c:pt>
                <c:pt idx="61">
                  <c:v>313.1442719332012</c:v>
                </c:pt>
                <c:pt idx="62">
                  <c:v>315.8630652915503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8" sqref="C1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63.84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0.26</v>
      </c>
      <c r="D9" s="33">
        <f t="shared" ref="D9:D18" si="0">C9*$C$5</f>
        <v>16.598400000000002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0.15</v>
      </c>
      <c r="D10" s="33">
        <f t="shared" si="0"/>
        <v>9.5760000000000005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0.03</v>
      </c>
      <c r="D11" s="33">
        <f t="shared" si="0"/>
        <v>1.9152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0.03</v>
      </c>
      <c r="D12" s="33">
        <f t="shared" si="0"/>
        <v>1.9152</v>
      </c>
      <c r="E12" s="34">
        <v>110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9</v>
      </c>
      <c r="C13" s="32">
        <v>0.04</v>
      </c>
      <c r="D13" s="33">
        <f t="shared" si="0"/>
        <v>2.5536000000000003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0.04</v>
      </c>
      <c r="D14" s="33">
        <f t="shared" si="0"/>
        <v>2.5536000000000003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47</v>
      </c>
      <c r="C15" s="32">
        <v>0.08</v>
      </c>
      <c r="D15" s="33">
        <f t="shared" si="0"/>
        <v>5.1072000000000006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45</v>
      </c>
      <c r="C16" s="32">
        <v>0.05</v>
      </c>
      <c r="D16" s="33">
        <f t="shared" si="0"/>
        <v>3.1920000000000002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36</v>
      </c>
      <c r="C17" s="32">
        <v>0.22</v>
      </c>
      <c r="D17" s="33">
        <f t="shared" si="0"/>
        <v>14.0448</v>
      </c>
      <c r="E17" s="34">
        <v>62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119</v>
      </c>
      <c r="C18" s="32">
        <v>0.09</v>
      </c>
      <c r="D18" s="33">
        <f t="shared" si="0"/>
        <v>5.7456000000000005</v>
      </c>
      <c r="E18" s="34">
        <v>20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0.9900000000000001</v>
      </c>
      <c r="D19" s="38">
        <f>SUM(D9:D18)</f>
        <v>63.201600000000006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30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54</v>
      </c>
      <c r="C37" s="60">
        <v>0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4.8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106</v>
      </c>
      <c r="C38" s="60">
        <v>1</v>
      </c>
      <c r="D38" s="60">
        <v>27</v>
      </c>
      <c r="E38" s="51"/>
      <c r="F38" s="51"/>
      <c r="G38" s="51"/>
      <c r="H38" s="51"/>
      <c r="I38" s="53">
        <f t="shared" si="1"/>
        <v>5.2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135</v>
      </c>
      <c r="C39" s="60">
        <v>2</v>
      </c>
      <c r="D39" s="60">
        <v>28</v>
      </c>
      <c r="E39" s="51"/>
      <c r="F39" s="51"/>
      <c r="G39" s="51"/>
      <c r="H39" s="51"/>
      <c r="I39" s="49">
        <f t="shared" si="1"/>
        <v>5.6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162</v>
      </c>
      <c r="C40" s="60">
        <v>3</v>
      </c>
      <c r="D40" s="60">
        <v>28</v>
      </c>
      <c r="E40" s="51"/>
      <c r="F40" s="51"/>
      <c r="G40" s="51"/>
      <c r="H40" s="51"/>
      <c r="I40" s="49">
        <f t="shared" si="1"/>
        <v>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186</v>
      </c>
      <c r="C41" s="60">
        <v>4</v>
      </c>
      <c r="D41" s="60">
        <v>28</v>
      </c>
      <c r="E41" s="51"/>
      <c r="F41" s="51"/>
      <c r="G41" s="51"/>
      <c r="H41" s="51"/>
      <c r="I41" s="53">
        <f t="shared" si="1"/>
        <v>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206</v>
      </c>
      <c r="C42" s="60">
        <v>5</v>
      </c>
      <c r="D42" s="60">
        <v>28</v>
      </c>
      <c r="E42" s="51"/>
      <c r="F42" s="51"/>
      <c r="G42" s="51"/>
      <c r="H42" s="51"/>
      <c r="I42" s="53">
        <f t="shared" si="1"/>
        <v>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221</v>
      </c>
      <c r="C43" s="60">
        <v>6</v>
      </c>
      <c r="D43" s="60">
        <v>28</v>
      </c>
      <c r="E43" s="51"/>
      <c r="F43" s="51"/>
      <c r="G43" s="51"/>
      <c r="H43" s="51"/>
      <c r="I43" s="49">
        <f t="shared" si="1"/>
        <v>4.3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230</v>
      </c>
      <c r="C44" s="60">
        <v>7</v>
      </c>
      <c r="D44" s="60">
        <v>28</v>
      </c>
      <c r="E44" s="51"/>
      <c r="F44" s="51"/>
      <c r="G44" s="51"/>
      <c r="H44" s="51"/>
      <c r="I44" s="49">
        <f t="shared" si="1"/>
        <v>3.7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233</v>
      </c>
      <c r="C45" s="60">
        <v>8</v>
      </c>
      <c r="D45" s="60">
        <v>27</v>
      </c>
      <c r="E45" s="51"/>
      <c r="F45" s="51"/>
      <c r="G45" s="51"/>
      <c r="H45" s="51"/>
      <c r="I45" s="49">
        <f t="shared" si="1"/>
        <v>3.1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v>234</v>
      </c>
      <c r="C46" s="60">
        <v>9</v>
      </c>
      <c r="D46" s="60">
        <v>234</v>
      </c>
      <c r="E46" s="51"/>
      <c r="F46" s="51"/>
      <c r="G46" s="51"/>
      <c r="H46" s="51"/>
      <c r="I46" s="49">
        <f t="shared" si="1"/>
        <v>2.8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105</v>
      </c>
      <c r="C62" s="60">
        <v>1</v>
      </c>
      <c r="D62" s="60">
        <v>32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175</v>
      </c>
      <c r="C63" s="60">
        <v>2</v>
      </c>
      <c r="D63" s="60">
        <v>62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200</v>
      </c>
      <c r="C64" s="60">
        <v>3</v>
      </c>
      <c r="D64" s="60">
        <v>58</v>
      </c>
      <c r="E64" s="51"/>
      <c r="F64" s="51"/>
      <c r="G64" s="51"/>
      <c r="H64" s="51"/>
      <c r="I64" s="49">
        <f>IF(A64&lt;&gt;0,(B64-(B63-D63))/(A64-A63),"")</f>
        <v>8.6999999999999993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214</v>
      </c>
      <c r="C65" s="60">
        <v>4</v>
      </c>
      <c r="D65" s="60">
        <v>50</v>
      </c>
      <c r="E65" s="51"/>
      <c r="F65" s="51"/>
      <c r="G65" s="51"/>
      <c r="H65" s="51"/>
      <c r="I65" s="49">
        <f>IF(A65&lt;&gt;0,(B65-(B64-D64))/(A65-A64),"")</f>
        <v>7.2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220</v>
      </c>
      <c r="C66" s="60">
        <v>5</v>
      </c>
      <c r="D66" s="60">
        <v>40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223</v>
      </c>
      <c r="C67" s="60">
        <v>6</v>
      </c>
      <c r="D67" s="60">
        <v>32</v>
      </c>
      <c r="E67" s="51"/>
      <c r="F67" s="51"/>
      <c r="G67" s="51"/>
      <c r="H67" s="51"/>
      <c r="I67" s="49">
        <f t="shared" si="2"/>
        <v>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224</v>
      </c>
      <c r="C68" s="60">
        <v>7</v>
      </c>
      <c r="D68" s="60">
        <v>24</v>
      </c>
      <c r="E68" s="51"/>
      <c r="F68" s="51"/>
      <c r="G68" s="51"/>
      <c r="H68" s="51"/>
      <c r="I68" s="49">
        <f t="shared" si="2"/>
        <v>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225</v>
      </c>
      <c r="C69" s="50">
        <v>8</v>
      </c>
      <c r="D69" s="50">
        <v>225</v>
      </c>
      <c r="E69" s="51"/>
      <c r="F69" s="51"/>
      <c r="G69" s="51"/>
      <c r="H69" s="51"/>
      <c r="I69" s="49">
        <f t="shared" si="2"/>
        <v>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81</v>
      </c>
      <c r="C88" s="60">
        <v>1</v>
      </c>
      <c r="D88" s="60">
        <v>15</v>
      </c>
      <c r="E88" s="51"/>
      <c r="F88" s="51">
        <v>0.5</v>
      </c>
      <c r="G88" s="51">
        <v>0.5</v>
      </c>
      <c r="H88" s="87"/>
      <c r="I88" s="53">
        <f>IFERROR(B88/A88,"")</f>
        <v>4.05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177</v>
      </c>
      <c r="C89" s="60">
        <v>2</v>
      </c>
      <c r="D89" s="60">
        <v>56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11.1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234</v>
      </c>
      <c r="C90" s="60">
        <v>3</v>
      </c>
      <c r="D90" s="60">
        <v>56</v>
      </c>
      <c r="E90" s="87"/>
      <c r="F90" s="87"/>
      <c r="G90" s="87"/>
      <c r="H90" s="87"/>
      <c r="I90" s="53">
        <f t="shared" si="3"/>
        <v>11.3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273</v>
      </c>
      <c r="C91" s="60">
        <v>4</v>
      </c>
      <c r="D91" s="60">
        <v>52</v>
      </c>
      <c r="E91" s="87"/>
      <c r="F91" s="87"/>
      <c r="G91" s="87"/>
      <c r="H91" s="87"/>
      <c r="I91" s="53">
        <f t="shared" si="3"/>
        <v>9.5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295</v>
      </c>
      <c r="C92" s="60">
        <v>5</v>
      </c>
      <c r="D92" s="60">
        <v>37</v>
      </c>
      <c r="E92" s="87"/>
      <c r="F92" s="87"/>
      <c r="G92" s="87"/>
      <c r="H92" s="87"/>
      <c r="I92" s="53">
        <f t="shared" si="3"/>
        <v>7.4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314</v>
      </c>
      <c r="C93" s="60">
        <v>6</v>
      </c>
      <c r="D93" s="60">
        <v>28</v>
      </c>
      <c r="E93" s="87"/>
      <c r="F93" s="87"/>
      <c r="G93" s="87"/>
      <c r="H93" s="87"/>
      <c r="I93" s="53">
        <f t="shared" si="3"/>
        <v>5.6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328</v>
      </c>
      <c r="C94" s="60">
        <v>7</v>
      </c>
      <c r="D94" s="60">
        <v>328</v>
      </c>
      <c r="E94" s="87"/>
      <c r="F94" s="87"/>
      <c r="G94" s="87"/>
      <c r="H94" s="87"/>
      <c r="I94" s="53">
        <f t="shared" si="3"/>
        <v>4.2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115</v>
      </c>
      <c r="C114" s="50">
        <v>1</v>
      </c>
      <c r="D114" s="60">
        <v>6.9</v>
      </c>
      <c r="E114" s="51"/>
      <c r="F114" s="51">
        <v>0.5</v>
      </c>
      <c r="G114" s="51">
        <v>0.5</v>
      </c>
      <c r="H114" s="51"/>
      <c r="I114" s="53">
        <f>IFERROR(B114/A114,"")</f>
        <v>5.75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173.1</v>
      </c>
      <c r="C115" s="50">
        <v>2</v>
      </c>
      <c r="D115" s="60">
        <v>25.4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6.5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217.7</v>
      </c>
      <c r="C116" s="50">
        <v>3</v>
      </c>
      <c r="D116" s="60">
        <v>46.3</v>
      </c>
      <c r="E116" s="51"/>
      <c r="F116" s="51"/>
      <c r="G116" s="51"/>
      <c r="H116" s="51"/>
      <c r="I116" s="53">
        <f t="shared" si="4"/>
        <v>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241.4</v>
      </c>
      <c r="C117" s="50">
        <v>4</v>
      </c>
      <c r="D117" s="60">
        <v>46.3</v>
      </c>
      <c r="E117" s="51"/>
      <c r="F117" s="51"/>
      <c r="G117" s="51"/>
      <c r="H117" s="51"/>
      <c r="I117" s="53">
        <f t="shared" si="4"/>
        <v>7.0000000000000027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275.10000000000002</v>
      </c>
      <c r="C118" s="50">
        <v>5</v>
      </c>
      <c r="D118" s="60">
        <v>46.3</v>
      </c>
      <c r="E118" s="51"/>
      <c r="F118" s="51"/>
      <c r="G118" s="51"/>
      <c r="H118" s="51"/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303.8</v>
      </c>
      <c r="C119" s="50">
        <v>6</v>
      </c>
      <c r="D119" s="60">
        <v>46.3</v>
      </c>
      <c r="E119" s="51"/>
      <c r="F119" s="51"/>
      <c r="G119" s="51"/>
      <c r="H119" s="51"/>
      <c r="I119" s="53">
        <f t="shared" si="4"/>
        <v>7.5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334.5</v>
      </c>
      <c r="C120" s="60">
        <v>7</v>
      </c>
      <c r="D120" s="60">
        <v>46.3</v>
      </c>
      <c r="E120" s="87"/>
      <c r="F120" s="87"/>
      <c r="G120" s="87"/>
      <c r="H120" s="87"/>
      <c r="I120" s="53">
        <f t="shared" si="4"/>
        <v>7.7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371.2</v>
      </c>
      <c r="C121" s="60">
        <v>8</v>
      </c>
      <c r="D121" s="60">
        <v>46.3</v>
      </c>
      <c r="E121" s="87"/>
      <c r="F121" s="87"/>
      <c r="G121" s="87"/>
      <c r="H121" s="87"/>
      <c r="I121" s="53">
        <f t="shared" si="4"/>
        <v>8.3000000000000007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407.9</v>
      </c>
      <c r="C122" s="60">
        <v>9</v>
      </c>
      <c r="D122" s="60">
        <v>46.3</v>
      </c>
      <c r="E122" s="87"/>
      <c r="F122" s="87"/>
      <c r="G122" s="87"/>
      <c r="H122" s="87"/>
      <c r="I122" s="53">
        <f t="shared" si="4"/>
        <v>8.3000000000000007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v>448.59999999999997</v>
      </c>
      <c r="C123" s="60">
        <v>10</v>
      </c>
      <c r="D123" s="60">
        <v>448.6</v>
      </c>
      <c r="E123" s="87"/>
      <c r="F123" s="87"/>
      <c r="G123" s="87"/>
      <c r="H123" s="87"/>
      <c r="I123" s="53">
        <f t="shared" si="4"/>
        <v>8.6999999999999993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chevelu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25</v>
      </c>
      <c r="B140" s="60">
        <v>30</v>
      </c>
      <c r="C140" s="50">
        <v>0</v>
      </c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54</v>
      </c>
      <c r="C141" s="50">
        <v>0</v>
      </c>
      <c r="D141" s="60">
        <v>0</v>
      </c>
      <c r="E141" s="51"/>
      <c r="F141" s="51"/>
      <c r="G141" s="51"/>
      <c r="H141" s="51"/>
      <c r="I141" s="57">
        <f t="shared" ref="I141:I159" si="5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106</v>
      </c>
      <c r="C142" s="50">
        <v>1</v>
      </c>
      <c r="D142" s="60">
        <v>27</v>
      </c>
      <c r="E142" s="51"/>
      <c r="F142" s="51"/>
      <c r="G142" s="51"/>
      <c r="H142" s="51"/>
      <c r="I142" s="57">
        <f t="shared" si="5"/>
        <v>5.2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135</v>
      </c>
      <c r="C143" s="50">
        <v>2</v>
      </c>
      <c r="D143" s="60">
        <v>28</v>
      </c>
      <c r="E143" s="51"/>
      <c r="F143" s="51"/>
      <c r="G143" s="51"/>
      <c r="H143" s="51"/>
      <c r="I143" s="57">
        <f t="shared" si="5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162</v>
      </c>
      <c r="C144" s="50">
        <v>3</v>
      </c>
      <c r="D144" s="60">
        <v>28</v>
      </c>
      <c r="E144" s="51"/>
      <c r="F144" s="51"/>
      <c r="G144" s="51"/>
      <c r="H144" s="51"/>
      <c r="I144" s="57">
        <f t="shared" si="5"/>
        <v>5.5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186</v>
      </c>
      <c r="C145" s="50">
        <v>4</v>
      </c>
      <c r="D145" s="60">
        <v>28</v>
      </c>
      <c r="E145" s="51"/>
      <c r="F145" s="51"/>
      <c r="G145" s="51"/>
      <c r="H145" s="51"/>
      <c r="I145" s="57">
        <f t="shared" si="5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206</v>
      </c>
      <c r="C146" s="50">
        <v>5</v>
      </c>
      <c r="D146" s="60">
        <v>28</v>
      </c>
      <c r="E146" s="51"/>
      <c r="F146" s="51"/>
      <c r="G146" s="51"/>
      <c r="H146" s="51"/>
      <c r="I146" s="57">
        <f t="shared" si="5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221</v>
      </c>
      <c r="C147" s="50">
        <v>6</v>
      </c>
      <c r="D147" s="60">
        <v>28</v>
      </c>
      <c r="E147" s="51"/>
      <c r="F147" s="51"/>
      <c r="G147" s="51"/>
      <c r="H147" s="51"/>
      <c r="I147" s="57">
        <f>IF(A147&lt;&gt;0,(B147-(B146-D146))/(A147-A146),"")</f>
        <v>4.3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230</v>
      </c>
      <c r="C148" s="50">
        <v>7</v>
      </c>
      <c r="D148" s="60">
        <v>28</v>
      </c>
      <c r="E148" s="51"/>
      <c r="F148" s="51"/>
      <c r="G148" s="51"/>
      <c r="H148" s="51"/>
      <c r="I148" s="57">
        <f t="shared" si="5"/>
        <v>3.7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233</v>
      </c>
      <c r="C149" s="50">
        <v>8</v>
      </c>
      <c r="D149" s="60">
        <v>27</v>
      </c>
      <c r="E149" s="51"/>
      <c r="F149" s="51"/>
      <c r="G149" s="51"/>
      <c r="H149" s="51"/>
      <c r="I149" s="57">
        <f t="shared" si="5"/>
        <v>3.1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v>234</v>
      </c>
      <c r="C150" s="50">
        <v>9</v>
      </c>
      <c r="D150" s="60">
        <v>234</v>
      </c>
      <c r="E150" s="51"/>
      <c r="F150" s="51"/>
      <c r="G150" s="51"/>
      <c r="H150" s="51"/>
      <c r="I150" s="57">
        <f t="shared" si="5"/>
        <v>2.8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62</v>
      </c>
      <c r="C166" s="60"/>
      <c r="D166" s="60"/>
      <c r="E166" s="51"/>
      <c r="F166" s="51"/>
      <c r="G166" s="51"/>
      <c r="H166" s="51"/>
      <c r="I166" s="49">
        <f>IFERROR(B166/A166,"")</f>
        <v>3.1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164</v>
      </c>
      <c r="C167" s="60">
        <v>1</v>
      </c>
      <c r="D167" s="60">
        <v>41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10.199999999999999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233</v>
      </c>
      <c r="C168" s="60">
        <v>2</v>
      </c>
      <c r="D168" s="60">
        <v>56</v>
      </c>
      <c r="E168" s="51"/>
      <c r="F168" s="51"/>
      <c r="G168" s="51"/>
      <c r="H168" s="51"/>
      <c r="I168" s="49">
        <f t="shared" si="6"/>
        <v>11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284</v>
      </c>
      <c r="C169" s="60">
        <v>3</v>
      </c>
      <c r="D169" s="60">
        <v>56</v>
      </c>
      <c r="E169" s="51"/>
      <c r="F169" s="51"/>
      <c r="G169" s="51"/>
      <c r="H169" s="51"/>
      <c r="I169" s="49">
        <f t="shared" si="6"/>
        <v>10.7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324</v>
      </c>
      <c r="C170" s="60">
        <v>4</v>
      </c>
      <c r="D170" s="60">
        <v>49</v>
      </c>
      <c r="E170" s="51"/>
      <c r="F170" s="51"/>
      <c r="G170" s="51"/>
      <c r="H170" s="51"/>
      <c r="I170" s="49">
        <f t="shared" si="6"/>
        <v>9.6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355</v>
      </c>
      <c r="C171" s="60">
        <v>5</v>
      </c>
      <c r="D171" s="60">
        <v>38</v>
      </c>
      <c r="E171" s="51"/>
      <c r="F171" s="51"/>
      <c r="G171" s="51"/>
      <c r="H171" s="51"/>
      <c r="I171" s="49">
        <f t="shared" si="6"/>
        <v>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377</v>
      </c>
      <c r="C172" s="60">
        <v>6</v>
      </c>
      <c r="D172" s="60">
        <v>377</v>
      </c>
      <c r="E172" s="51"/>
      <c r="F172" s="51"/>
      <c r="G172" s="51"/>
      <c r="H172" s="51"/>
      <c r="I172" s="49">
        <f t="shared" si="6"/>
        <v>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Sapin méditerranéen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70</v>
      </c>
      <c r="C192" s="60"/>
      <c r="D192" s="60">
        <v>0</v>
      </c>
      <c r="E192" s="51"/>
      <c r="F192" s="51">
        <v>0.5</v>
      </c>
      <c r="G192" s="51">
        <v>0.5</v>
      </c>
      <c r="H192" s="51"/>
      <c r="I192" s="49">
        <f>IFERROR(B192/A192,"")</f>
        <v>3.5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260</v>
      </c>
      <c r="C193" s="60">
        <v>1</v>
      </c>
      <c r="D193" s="60">
        <v>66</v>
      </c>
      <c r="E193" s="51">
        <v>0.2</v>
      </c>
      <c r="F193" s="51">
        <v>0.4</v>
      </c>
      <c r="G193" s="51">
        <v>0.4</v>
      </c>
      <c r="H193" s="51"/>
      <c r="I193" s="49">
        <f t="shared" ref="I193:I211" si="7">IF(A193&lt;&gt;0,(B193-(B192-D192))/(A193-A192),"")</f>
        <v>19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396</v>
      </c>
      <c r="C194" s="60">
        <v>2</v>
      </c>
      <c r="D194" s="60">
        <v>98</v>
      </c>
      <c r="E194" s="51"/>
      <c r="F194" s="51"/>
      <c r="G194" s="51"/>
      <c r="H194" s="51"/>
      <c r="I194" s="49">
        <f t="shared" si="7"/>
        <v>20.2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490</v>
      </c>
      <c r="C195" s="60">
        <v>3</v>
      </c>
      <c r="D195" s="60">
        <v>98</v>
      </c>
      <c r="E195" s="51"/>
      <c r="F195" s="51"/>
      <c r="G195" s="51"/>
      <c r="H195" s="51"/>
      <c r="I195" s="49">
        <f t="shared" si="7"/>
        <v>19.2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565</v>
      </c>
      <c r="C196" s="60">
        <v>4</v>
      </c>
      <c r="D196" s="60">
        <v>95</v>
      </c>
      <c r="E196" s="51"/>
      <c r="F196" s="51"/>
      <c r="G196" s="51"/>
      <c r="H196" s="51"/>
      <c r="I196" s="49">
        <f t="shared" si="7"/>
        <v>17.3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623</v>
      </c>
      <c r="C197" s="60">
        <v>5</v>
      </c>
      <c r="D197" s="60">
        <v>78</v>
      </c>
      <c r="E197" s="51"/>
      <c r="F197" s="51"/>
      <c r="G197" s="51"/>
      <c r="H197" s="51"/>
      <c r="I197" s="49">
        <f t="shared" si="7"/>
        <v>15.3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v>678</v>
      </c>
      <c r="C198" s="60">
        <v>6</v>
      </c>
      <c r="D198" s="60">
        <v>678</v>
      </c>
      <c r="E198" s="51"/>
      <c r="F198" s="51"/>
      <c r="G198" s="51"/>
      <c r="H198" s="51"/>
      <c r="I198" s="49">
        <f t="shared" si="7"/>
        <v>13.3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Sapin de Nordmann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70</v>
      </c>
      <c r="C218" s="50"/>
      <c r="D218" s="60">
        <v>0</v>
      </c>
      <c r="E218" s="63"/>
      <c r="F218" s="63">
        <v>0.5</v>
      </c>
      <c r="G218" s="63">
        <v>0.5</v>
      </c>
      <c r="H218" s="63"/>
      <c r="I218" s="53">
        <f>IFERROR(B218/A218,"")</f>
        <v>3.5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260</v>
      </c>
      <c r="C219" s="50">
        <v>1</v>
      </c>
      <c r="D219" s="60">
        <v>66</v>
      </c>
      <c r="E219" s="63">
        <v>0.2</v>
      </c>
      <c r="F219" s="63">
        <v>0.4</v>
      </c>
      <c r="G219" s="63">
        <v>0.4</v>
      </c>
      <c r="H219" s="63"/>
      <c r="I219" s="53">
        <f t="shared" ref="I219:I237" si="8">IF(A219&lt;&gt;0,(B219-(B218-D218))/(A219-A218),"")</f>
        <v>19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v>396</v>
      </c>
      <c r="C220" s="50">
        <v>2</v>
      </c>
      <c r="D220" s="60">
        <v>98</v>
      </c>
      <c r="E220" s="63"/>
      <c r="F220" s="63"/>
      <c r="G220" s="63"/>
      <c r="H220" s="63"/>
      <c r="I220" s="53">
        <f t="shared" si="8"/>
        <v>20.2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v>490</v>
      </c>
      <c r="C221" s="55">
        <v>3</v>
      </c>
      <c r="D221" s="55">
        <v>98</v>
      </c>
      <c r="E221" s="63"/>
      <c r="F221" s="63"/>
      <c r="G221" s="63"/>
      <c r="H221" s="63"/>
      <c r="I221" s="53">
        <f t="shared" si="8"/>
        <v>19.2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v>565</v>
      </c>
      <c r="C222" s="55">
        <v>4</v>
      </c>
      <c r="D222" s="55">
        <v>95</v>
      </c>
      <c r="E222" s="63"/>
      <c r="F222" s="63"/>
      <c r="G222" s="63"/>
      <c r="H222" s="63"/>
      <c r="I222" s="53">
        <f t="shared" si="8"/>
        <v>17.3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v>623</v>
      </c>
      <c r="C223" s="55">
        <v>5</v>
      </c>
      <c r="D223" s="55">
        <v>78</v>
      </c>
      <c r="E223" s="63"/>
      <c r="F223" s="63"/>
      <c r="G223" s="63"/>
      <c r="H223" s="63"/>
      <c r="I223" s="53">
        <f t="shared" si="8"/>
        <v>15.3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v>678</v>
      </c>
      <c r="C224" s="55">
        <v>6</v>
      </c>
      <c r="D224" s="55">
        <v>678</v>
      </c>
      <c r="E224" s="63"/>
      <c r="F224" s="63"/>
      <c r="G224" s="63"/>
      <c r="H224" s="63"/>
      <c r="I224" s="53">
        <f t="shared" si="8"/>
        <v>13.3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Pin maritime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12</v>
      </c>
      <c r="B244" s="60">
        <v>25</v>
      </c>
      <c r="C244" s="60"/>
      <c r="D244" s="60">
        <v>0</v>
      </c>
      <c r="E244" s="51"/>
      <c r="F244" s="51"/>
      <c r="G244" s="51"/>
      <c r="H244" s="63"/>
      <c r="I244" s="53">
        <f>IFERROR(B244/A244,"")</f>
        <v>2.0833333333333335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16</v>
      </c>
      <c r="B245" s="60">
        <v>59</v>
      </c>
      <c r="C245" s="60">
        <v>1</v>
      </c>
      <c r="D245" s="60">
        <v>8</v>
      </c>
      <c r="E245" s="63"/>
      <c r="F245" s="63">
        <v>0.5</v>
      </c>
      <c r="G245" s="63">
        <v>0.5</v>
      </c>
      <c r="H245" s="63"/>
      <c r="I245" s="53">
        <f>IF(A245&lt;&gt;0,(B245-(B244-D244))/(A245-A244),"")</f>
        <v>8.5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20</v>
      </c>
      <c r="B246" s="60">
        <v>91</v>
      </c>
      <c r="C246" s="60">
        <v>2</v>
      </c>
      <c r="D246" s="60">
        <v>14</v>
      </c>
      <c r="E246" s="63"/>
      <c r="F246" s="63">
        <v>0.5</v>
      </c>
      <c r="G246" s="63">
        <v>0.5</v>
      </c>
      <c r="H246" s="63"/>
      <c r="I246" s="53">
        <f>IF(A246&lt;&gt;0,(B246-(B245-D245))/(A246-A245),"")</f>
        <v>10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24</v>
      </c>
      <c r="B247" s="60">
        <v>121</v>
      </c>
      <c r="C247" s="60">
        <v>3</v>
      </c>
      <c r="D247" s="60">
        <v>20</v>
      </c>
      <c r="E247" s="63">
        <v>0.1</v>
      </c>
      <c r="F247" s="63">
        <v>0.45</v>
      </c>
      <c r="G247" s="63">
        <v>0.45</v>
      </c>
      <c r="H247" s="63"/>
      <c r="I247" s="53">
        <f t="shared" ref="I247:I263" si="9">IF(A247&lt;&gt;0,(B247-(B246-D246))/(A247-A246),"")</f>
        <v>11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28</v>
      </c>
      <c r="B248" s="60">
        <v>146</v>
      </c>
      <c r="C248" s="60">
        <v>4</v>
      </c>
      <c r="D248" s="60">
        <v>23</v>
      </c>
      <c r="E248" s="63">
        <v>0.2</v>
      </c>
      <c r="F248" s="63">
        <v>0.4</v>
      </c>
      <c r="G248" s="63">
        <v>0.4</v>
      </c>
      <c r="H248" s="63"/>
      <c r="I248" s="53">
        <f t="shared" si="9"/>
        <v>11.25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34</v>
      </c>
      <c r="B249" s="60">
        <v>193</v>
      </c>
      <c r="C249" s="60">
        <v>5</v>
      </c>
      <c r="D249" s="60">
        <v>38</v>
      </c>
      <c r="E249" s="63"/>
      <c r="F249" s="63"/>
      <c r="G249" s="63"/>
      <c r="H249" s="63"/>
      <c r="I249" s="53">
        <f t="shared" si="9"/>
        <v>11.666666666666666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40</v>
      </c>
      <c r="B250" s="60">
        <v>215</v>
      </c>
      <c r="C250" s="60">
        <v>6</v>
      </c>
      <c r="D250" s="60">
        <v>31</v>
      </c>
      <c r="E250" s="63"/>
      <c r="F250" s="63"/>
      <c r="G250" s="63"/>
      <c r="H250" s="63"/>
      <c r="I250" s="53">
        <f t="shared" si="9"/>
        <v>10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46</v>
      </c>
      <c r="B251" s="55">
        <v>228</v>
      </c>
      <c r="C251" s="55">
        <v>7</v>
      </c>
      <c r="D251" s="55">
        <v>23</v>
      </c>
      <c r="E251" s="63"/>
      <c r="F251" s="63"/>
      <c r="G251" s="63"/>
      <c r="H251" s="63"/>
      <c r="I251" s="53">
        <f t="shared" si="9"/>
        <v>7.333333333333333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54</v>
      </c>
      <c r="B252" s="55">
        <v>246</v>
      </c>
      <c r="C252" s="55">
        <v>8</v>
      </c>
      <c r="D252" s="55">
        <v>22</v>
      </c>
      <c r="E252" s="63"/>
      <c r="F252" s="63"/>
      <c r="G252" s="63"/>
      <c r="H252" s="63"/>
      <c r="I252" s="53">
        <f t="shared" si="9"/>
        <v>5.125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62</v>
      </c>
      <c r="B253" s="55">
        <f>232+9</f>
        <v>241</v>
      </c>
      <c r="C253" s="55">
        <v>9</v>
      </c>
      <c r="D253" s="55">
        <f>B253</f>
        <v>241</v>
      </c>
      <c r="E253" s="63"/>
      <c r="F253" s="63"/>
      <c r="G253" s="63"/>
      <c r="H253" s="63"/>
      <c r="I253" s="53">
        <f t="shared" si="9"/>
        <v>2.125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Peuplier Trichobel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5</v>
      </c>
      <c r="B270" s="60">
        <v>5</v>
      </c>
      <c r="C270" s="50"/>
      <c r="D270" s="60"/>
      <c r="E270" s="51"/>
      <c r="F270" s="51"/>
      <c r="G270" s="51"/>
      <c r="H270" s="51"/>
      <c r="I270" s="53">
        <f>IFERROR(B270/A270,"")</f>
        <v>1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10</v>
      </c>
      <c r="B271" s="60">
        <v>39</v>
      </c>
      <c r="C271" s="50"/>
      <c r="D271" s="60"/>
      <c r="E271" s="51"/>
      <c r="F271" s="51"/>
      <c r="G271" s="51"/>
      <c r="H271" s="51"/>
      <c r="I271" s="53">
        <f>IF(A271&lt;&gt;0,(B271-(B270-D270))/(A271-A270),"")</f>
        <v>6.8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15</v>
      </c>
      <c r="B272" s="60">
        <v>99</v>
      </c>
      <c r="C272" s="50"/>
      <c r="D272" s="60"/>
      <c r="E272" s="51"/>
      <c r="F272" s="51"/>
      <c r="G272" s="51"/>
      <c r="H272" s="51"/>
      <c r="I272" s="53">
        <f t="shared" ref="I272:I289" si="10">IF(A272&lt;&gt;0,(B272-(B271-D271))/(A272-A271),"")</f>
        <v>12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20</v>
      </c>
      <c r="B273" s="60">
        <v>178</v>
      </c>
      <c r="C273" s="50"/>
      <c r="D273" s="60">
        <v>178</v>
      </c>
      <c r="E273" s="51">
        <v>0.78</v>
      </c>
      <c r="F273" s="51">
        <v>0</v>
      </c>
      <c r="G273" s="51">
        <v>0.22</v>
      </c>
      <c r="H273" s="51"/>
      <c r="I273" s="53">
        <f t="shared" si="10"/>
        <v>15.8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6" sqref="F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chevelu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Sapin méditerranéen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Sapin de Nordmann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Pin maritime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Peuplier Trichobel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138.8931001150624</v>
      </c>
      <c r="T3" s="59">
        <f>IF('Données projet'!E9&gt;30,$R$33-$H$33,LOOKUP('Données projet'!$E$9,$A$3:$A$203,R3:R203)-LOOKUP('Données projet'!$E$9,$A$3:$A$203,$H$3:$H$203))</f>
        <v>48.964659354096625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191.94797389630673</v>
      </c>
      <c r="AO3" s="59">
        <f>IF('Données projet'!E10&gt;30,$AM$33-$H$33,LOOKUP('Données projet'!$E$10,$A$3:$A$203,AM3:AM203)-LOOKUP('Données projet'!$E$10,$A$3:$A$203,$H$3:$H$203))</f>
        <v>273.52540822767878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162.91481796710048</v>
      </c>
      <c r="BJ3" s="59">
        <f>IF('Données projet'!E11&gt;30,$BH$33-$H$33,LOOKUP('Données projet'!$E$11,$A$3:$A$203,BH3:BH203)-LOOKUP('Données projet'!$E$11,$A$3:$A$203,$H$3:$H$203))</f>
        <v>182.56192390367823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123.60520571614535</v>
      </c>
      <c r="CE3" s="59">
        <f>IF('Données projet'!E12&gt;30,$CC$33-$H$33,LOOKUP('Données projet'!$E$12,$A$3:$A$203,CC3:CC203)-LOOKUP('Données projet'!$E$12,$A$3:$A$203,$H$3:$H$203))</f>
        <v>119.00926870519527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177.94336949486529</v>
      </c>
      <c r="CZ3" s="59">
        <f>IF('Données projet'!E13&gt;30,$CX$33-$H$33,LOOKUP('Données projet'!$E$13,$A$3:$A$203,CX3:CX203)-LOOKUP('Données projet'!$E$13,$A$3:$A$203,$H$3:$H$203))</f>
        <v>65.559373432574603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165.39579887388538</v>
      </c>
      <c r="DU3" s="59">
        <f>IF('Données projet'!E14&gt;30,$DS$33-$H$33,LOOKUP('Données projet'!$E$14,$A$3:$A$203,DS3:DS203)-LOOKUP('Données projet'!$E$14,$A$3:$A$203,$H$3:$H$203))</f>
        <v>155.89639262545802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252.30925789500111</v>
      </c>
      <c r="EP3" s="59">
        <f>IF('Données projet'!E15&gt;30,$EN$33-$H$33,LOOKUP('Données projet'!$E$15,$A$3:$A$203,EN3:EN203)-LOOKUP('Données projet'!$E$15,$A$3:$A$203,$H$3:$H$203))</f>
        <v>213.96033794804805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252.30925789500111</v>
      </c>
      <c r="FK3" s="59">
        <f>IF('Données projet'!E16&gt;30,$FI$33-$H$33,LOOKUP('Données projet'!$E$16,$A$3:$A$203,FI3:FI203)-LOOKUP('Données projet'!$E$16,$A$3:$A$203,$H$3:$H$203))</f>
        <v>213.96033794804805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117.54638373164624</v>
      </c>
      <c r="GF3" s="59">
        <f>IF('Données projet'!E17&gt;30,$GD$33-$H$33,LOOKUP('Données projet'!$E$17,$A$3:$A$203,GD3:GD203)-LOOKUP('Données projet'!$E$17,$A$3:$A$203,$H$3:$H$203))</f>
        <v>133.0740262536583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43.147469606759159</v>
      </c>
      <c r="HA3" s="59">
        <f>IF('Données projet'!E18&gt;30,$GY$33-$H$33,LOOKUP('Données projet'!$E$18,$A$3:$A$203,GY3:GY203)-LOOKUP('Données projet'!$E$18,$A$3:$A$203,$H$3:$H$203))</f>
        <v>147.46995307968473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1.1457367676485573</v>
      </c>
      <c r="O4" s="13">
        <f>N4*VLOOKUP('Données projet'!$B$9,Paramètres!$A$1:$I$89,3,0)*VLOOKUP('Données projet'!$B$9,Paramètres!$A$1:$I$89,5,0)</f>
        <v>1.0366626273684145</v>
      </c>
      <c r="P4" s="13">
        <f>EXP(-1.0587+0.8836*LN(O4)+0.284)</f>
        <v>0.47573960617002853</v>
      </c>
      <c r="Q4" s="20">
        <f t="shared" ref="Q4:Q34" si="2">(O4+P4)*0.475*44/12</f>
        <v>2.6341005567461218</v>
      </c>
      <c r="R4" s="59">
        <f t="shared" si="0"/>
        <v>295.96743389007946</v>
      </c>
      <c r="S4" s="59">
        <f ca="1">AVERAGE(OFFSET($R$3,0,0,'Données projet'!$E$9+1,1))-AVERAGE(OFFSET($H$3,0,0,'Données projet'!$E$9+1,1))</f>
        <v>138.8931001150624</v>
      </c>
      <c r="T4" s="59">
        <f>$T$3</f>
        <v>48.964659354096625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5.25</v>
      </c>
      <c r="AI4" s="13">
        <f>IF('Données projet'!$A$62&gt;35,AI3+AH4-AQ3,IF(A4&lt;'Données projet'!$A$62,$AF$205^A4,IF(A4='Données projet'!$A$62,'Données projet'!$B$62,AI3+AH4-AQ3)))</f>
        <v>1.2620003197767753</v>
      </c>
      <c r="AJ4" s="13">
        <f>AI4*VLOOKUP('Données projet'!$B$10,Paramètres!$A$1:$I$89,3,0)*VLOOKUP('Données projet'!$B$10,Paramètres!$A$1:$I$89,5,0)</f>
        <v>1.1024834793569909</v>
      </c>
      <c r="AK4" s="13">
        <f>EXP(-1.0587+0.8836*LN(AJ4)+0.284)</f>
        <v>0.50233338685937634</v>
      </c>
      <c r="AL4" s="20">
        <f t="shared" ref="AL4:AL67" si="4">(AJ4+AK4)*0.475*44/12</f>
        <v>2.7950560419935062</v>
      </c>
      <c r="AM4" s="59">
        <f t="shared" ref="AM4:AM67" si="5">AL4+(AD4+AE4)*44/12</f>
        <v>296.12838937532683</v>
      </c>
      <c r="AN4" s="59">
        <f ca="1">AVERAGE(OFFSET($AM$3,0,0,'Données projet'!$E$10+1,1))-AVERAGE(OFFSET($H$3,0,0,'Données projet'!$E$10+1,1))</f>
        <v>191.94797389630673</v>
      </c>
      <c r="AO4" s="59">
        <f>$AO$3</f>
        <v>273.52540822767878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4.05</v>
      </c>
      <c r="BD4" s="12">
        <f>IF('Données projet'!$A$88&gt;35,BD3+BC4-BL3,IF(A4&lt;'Données projet'!$A$88,$BA$205^A4,IF(A4='Données projet'!$A$88,'Données projet'!$B$88,BD3+BC4-BL3)))</f>
        <v>1.2457309396155174</v>
      </c>
      <c r="BE4" s="13">
        <f>BD4*VLOOKUP('Données projet'!$B$11,Paramètres!$A$1:$I$89,3,0)*VLOOKUP('Données projet'!$B$11,Paramètres!$A$1:$I$89,5,0)</f>
        <v>0.77733610632008288</v>
      </c>
      <c r="BF4" s="13">
        <f>EXP(-1.0587+0.8836*LN(BE4)+0.284)</f>
        <v>0.3688875826718257</v>
      </c>
      <c r="BG4" s="20">
        <f t="shared" ref="BG4:BG67" si="7">(BE4+BF4)*0.475*44/12</f>
        <v>1.9963395916609075</v>
      </c>
      <c r="BH4" s="59">
        <f t="shared" ref="BH4:BH67" si="8">BG4+(AY4+AZ4)*44/12</f>
        <v>295.32967292499421</v>
      </c>
      <c r="BI4" s="59">
        <f ca="1">AVERAGE(OFFSET($BH$3,0,0,'Données projet'!$E$11+1,1))-AVERAGE(OFFSET($H$3,0,0,'Données projet'!$E$11+1,1))</f>
        <v>162.91481796710048</v>
      </c>
      <c r="BJ4" s="59">
        <f>$BJ$3</f>
        <v>182.56192390367823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5.75</v>
      </c>
      <c r="BY4" s="12">
        <f>IF('Données projet'!$A$114&gt;35,BY3+BX4-CG3,IF(A4&lt;'Données projet'!$A$114,$BV$205^A4,IF(A4='Données projet'!$A$114,'Données projet'!$B$114,BY3+BX4-CG3)))</f>
        <v>1.2677537154322802</v>
      </c>
      <c r="BZ4" s="13">
        <f>BY4*VLOOKUP('Données projet'!$B$12,Paramètres!$A$1:$I$89,3,0)*VLOOKUP('Données projet'!$B$12,Paramètres!$A$1:$I$89,5,0)</f>
        <v>0.59330873882230706</v>
      </c>
      <c r="CA4" s="13">
        <f>EXP(-1.0587+0.8836*LN(BZ4)+0.284)</f>
        <v>0.29055137246158741</v>
      </c>
      <c r="CB4" s="20">
        <f t="shared" ref="CB4:CB67" si="10">(BZ4+CA4)*0.475*44/12</f>
        <v>1.5393896938194491</v>
      </c>
      <c r="CC4" s="59">
        <f t="shared" ref="CC4:CC67" si="11">CB4+(BT4+BU4)*44/12</f>
        <v>294.87272302715274</v>
      </c>
      <c r="CD4" s="59">
        <f ca="1">AVERAGE(OFFSET($CC$3,0,0,'Données projet'!$E$12+1,1))-AVERAGE(OFFSET($H$3,0,0,'Données projet'!$E$12+1,1))</f>
        <v>123.60520571614535</v>
      </c>
      <c r="CE4" s="59">
        <f>$CE$3</f>
        <v>119.00926870519527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1.1975240695462721</v>
      </c>
      <c r="CV4" s="13">
        <f>EXP(-1.0587+0.8836*LN(CU4)+0.284)</f>
        <v>0.54041081187742124</v>
      </c>
      <c r="CW4" s="20">
        <f t="shared" ref="CW4:CW67" si="13">(CU4+CV4)*0.475*44/12</f>
        <v>3.0269032518129322</v>
      </c>
      <c r="CX4" s="59">
        <f t="shared" ref="CX4:CX67" si="14">CW4+(CO4+CP4)*44/12</f>
        <v>296.36023658514625</v>
      </c>
      <c r="CY4" s="59">
        <f ca="1">AVERAGE(OFFSET($CX$3,0,0,'Données projet'!$E$13+1,1))-AVERAGE(OFFSET($H$3,0,0,'Données projet'!$E$13+1,1))</f>
        <v>177.94336949486529</v>
      </c>
      <c r="CZ4" s="59">
        <f>$CZ$3</f>
        <v>65.559373432574603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3.1</v>
      </c>
      <c r="DO4" s="12">
        <f>IF('Données projet'!$A$166&gt;35,DO3+DN4-DW3,IF(A4&lt;'Données projet'!$A$166,$DL$205^A4,IF(A4='Données projet'!$A$166,'Données projet'!$B$166,DO3+DN4-DW3)))</f>
        <v>1.2291916021073213</v>
      </c>
      <c r="DP4" s="17">
        <f>DO4*VLOOKUP('Données projet'!$B$14,Paramètres!$A$1:$I$89,3,0)*VLOOKUP('Données projet'!$B$14,Paramètres!$A$1:$I$89,5,0)</f>
        <v>0.7350565780601781</v>
      </c>
      <c r="DQ4" s="13">
        <f>EXP(-1.0587+0.8836*LN(DP4)+0.284)</f>
        <v>0.35110183226268588</v>
      </c>
      <c r="DR4" s="20">
        <f t="shared" ref="DR4:DR67" si="16">(DP4+DQ4)*0.475*44/12</f>
        <v>1.8917258979789879</v>
      </c>
      <c r="DS4" s="59">
        <f t="shared" ref="DS4:DS67" si="17">DR4+(DJ4+DK4)*44/12</f>
        <v>295.22505923131229</v>
      </c>
      <c r="DT4" s="59">
        <f ca="1">AVERAGE(OFFSET($DS$3,0,0,'Données projet'!$E$14+1,1))-AVERAGE(OFFSET($H$3,0,0,'Données projet'!$E$14+1,1))</f>
        <v>165.39579887388538</v>
      </c>
      <c r="DU4" s="59">
        <f>$DU$3</f>
        <v>155.89639262545802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3.5</v>
      </c>
      <c r="EJ4" s="12">
        <f>IF('Données projet'!$A$192&gt;35,EJ3+EI4-ER3,IF(A4&lt;'Données projet'!$A$192,$EG$205^A4,IF(A4='Données projet'!$A$192,'Données projet'!$B$192,EJ3+EI4-ER3)))</f>
        <v>1.2366730653835798</v>
      </c>
      <c r="EK4" s="17">
        <f>EJ4*VLOOKUP('Données projet'!$B$15,Paramètres!$A$1:$I$89,3,0)*VLOOKUP('Données projet'!$B$15,Paramètres!$A$1:$I$89,5,0)</f>
        <v>0.59483974444950194</v>
      </c>
      <c r="EL4" s="13">
        <f>EXP(-1.0587+0.8836*LN(EK4)+0.284)</f>
        <v>0.29121375597522325</v>
      </c>
      <c r="EM4" s="20">
        <f t="shared" ref="EM4:EM67" si="19">(EK4+EL4)*0.475*44/12</f>
        <v>1.543209846573063</v>
      </c>
      <c r="EN4" s="59">
        <f t="shared" ref="EN4:EN67" si="20">EM4+(EE4+EF4)*44/12</f>
        <v>294.87654317990638</v>
      </c>
      <c r="EO4" s="59">
        <f ca="1">AVERAGE(OFFSET($EN$3,0,0,'Données projet'!$E$15+1,1))-AVERAGE(OFFSET($H$3,0,0,'Données projet'!$E$15+1,1))</f>
        <v>252.30925789500111</v>
      </c>
      <c r="EP4" s="59">
        <f>$EP$3</f>
        <v>213.96033794804805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3.5</v>
      </c>
      <c r="FE4" s="12">
        <f>IF('Données projet'!$A$218&gt;35,FE3+FD4-FM3,IF(A4&lt;'Données projet'!$A$218,$FB$205^A4,IF(A4='Données projet'!$A$218,'Données projet'!$B$218,FE3+FD4-FM3)))</f>
        <v>1.2366730653835798</v>
      </c>
      <c r="FF4" s="17">
        <f>FE4*VLOOKUP('Données projet'!$B$16,Paramètres!$A$1:$I$89,3,0)*VLOOKUP('Données projet'!$B$16,Paramètres!$A$1:$I$89,5,0)</f>
        <v>0.59483974444950194</v>
      </c>
      <c r="FG4" s="13">
        <f>EXP(-1.0587+0.8836*LN(FF4)+0.284)</f>
        <v>0.29121375597522325</v>
      </c>
      <c r="FH4" s="20">
        <f t="shared" ref="FH4:FH67" si="22">(FF4+FG4)*0.475*44/12</f>
        <v>1.543209846573063</v>
      </c>
      <c r="FI4" s="59">
        <f t="shared" ref="FI4:FI67" si="23">FH4+(EZ4+FA4)*44/12</f>
        <v>294.87654317990638</v>
      </c>
      <c r="FJ4" s="59">
        <f ca="1">AVERAGE(OFFSET($FI$3,0,0,'Données projet'!$E$16+1,1))-AVERAGE(OFFSET($H$3,0,0,'Données projet'!$E$16+1,1))</f>
        <v>252.30925789500111</v>
      </c>
      <c r="FK4" s="59">
        <f>$FK$3</f>
        <v>213.96033794804805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2.0833333333333335</v>
      </c>
      <c r="FZ4" s="12">
        <f>IF('Données projet'!$A$244&gt;35,FZ3+FY4-GH3,IF(A4&lt;'Données projet'!$A$244,$FW$205^A4,IF(A4='Données projet'!$A$244,'Données projet'!$B$244,FZ3+FY4-GH3)))</f>
        <v>1.3076604860118306</v>
      </c>
      <c r="GA4" s="17">
        <f>FZ4*VLOOKUP('Données projet'!$B$17,Paramètres!$A$1:$I$89,3,0)*VLOOKUP('Données projet'!$B$17,Paramètres!$A$1:$I$89,5,0)</f>
        <v>0.78198097063507477</v>
      </c>
      <c r="GB4" s="13">
        <f>EXP(-1.0587+0.8836*LN(GA4)+0.284)</f>
        <v>0.37083457038464518</v>
      </c>
      <c r="GC4" s="20">
        <f t="shared" ref="GC4:GC67" si="25">(GA4+GB4)*0.475*44/12</f>
        <v>2.0078204006093454</v>
      </c>
      <c r="GD4" s="59">
        <f t="shared" ref="GD4:GD67" si="26">GC4+(FU4+FV4)*44/12</f>
        <v>295.34115373394263</v>
      </c>
      <c r="GE4" s="59">
        <f ca="1">AVERAGE(OFFSET($GD$3,0,0,'Données projet'!$E$17+1,1))-AVERAGE(OFFSET($H$3,0,0,'Données projet'!$E$17+1,1))</f>
        <v>117.54638373164624</v>
      </c>
      <c r="GF4" s="59">
        <f>$GF$3</f>
        <v>133.0740262536583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</v>
      </c>
      <c r="GU4" s="12">
        <f>IF('Données projet'!$A$270&gt;35,GU3+GT4-HC3,IF(A4&lt;'Données projet'!$A$270,$GR$205^A4,IF(A4='Données projet'!$A$270,'Données projet'!$B$270,GU3+GT4-HC3)))</f>
        <v>1.3797296614612147</v>
      </c>
      <c r="GV4" s="17">
        <f>GU4*VLOOKUP('Données projet'!$B$18,Paramètres!$A$1:$I$89,3,0)*VLOOKUP('Données projet'!$B$18,Paramètres!$A$1:$I$89,5,0)</f>
        <v>0.6586277511951254</v>
      </c>
      <c r="GW4" s="13">
        <f>EXP(-1.0587+0.8836*LN(GV4)+0.284)</f>
        <v>0.31864153942914741</v>
      </c>
      <c r="GX4" s="20">
        <f t="shared" ref="GX4:GX67" si="28">(GV4+GW4)*0.475*44/12</f>
        <v>1.7020773478372748</v>
      </c>
      <c r="GY4" s="59">
        <f t="shared" ref="GY4:GY67" si="29">GX4+(GP4+GQ4)*44/12</f>
        <v>295.03541068117062</v>
      </c>
      <c r="GZ4" s="59">
        <f ca="1">AVERAGE(OFFSET($GY$3,0,0,'Données projet'!$E$18+1,1))-AVERAGE(OFFSET($H$3,0,0,'Données projet'!$E$18+1,1))</f>
        <v>43.147469606759159</v>
      </c>
      <c r="HA4" s="59">
        <f>$HA$3</f>
        <v>147.46995307968473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1.312712740741764</v>
      </c>
      <c r="O5" s="13">
        <f>N5*VLOOKUP('Données projet'!$B$9,Paramètres!$A$1:$I$89,3,0)*VLOOKUP('Données projet'!$B$9,Paramètres!$A$1:$I$89,5,0)</f>
        <v>1.187742487823148</v>
      </c>
      <c r="P5" s="13">
        <f t="shared" ref="P5:P68" si="33">EXP(-1.0587+0.8836*LN(O5)+0.284)</f>
        <v>0.53650859312100496</v>
      </c>
      <c r="Q5" s="20">
        <f t="shared" si="2"/>
        <v>3.0030706326443997</v>
      </c>
      <c r="R5" s="59">
        <f t="shared" si="0"/>
        <v>296.33640396597769</v>
      </c>
      <c r="S5" s="59">
        <f ca="1">AVERAGE(OFFSET($R$3,0,0,'Données projet'!$E$9+1,1))-AVERAGE(OFFSET($H$3,0,0,'Données projet'!$E$9+1,1))</f>
        <v>138.8931001150624</v>
      </c>
      <c r="T5" s="59">
        <f t="shared" ref="T5:T68" si="34">$T$3</f>
        <v>48.964659354096625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5.25</v>
      </c>
      <c r="AI5" s="13">
        <f>IF('Données projet'!$A$62&gt;35,AI4+AH5-AQ4,IF(A5&lt;'Données projet'!$A$62,$AF$205^A5,IF(A5='Données projet'!$A$62,'Données projet'!$B$62,AI4+AH5-AQ4)))</f>
        <v>1.592644807116683</v>
      </c>
      <c r="AJ5" s="13">
        <f>AI5*VLOOKUP('Données projet'!$B$10,Paramètres!$A$1:$I$89,3,0)*VLOOKUP('Données projet'!$B$10,Paramètres!$A$1:$I$89,5,0)</f>
        <v>1.3913345034971345</v>
      </c>
      <c r="AK5" s="13">
        <f t="shared" ref="AK5:AK68" si="35">EXP(-1.0587+0.8836*LN(AJ5)+0.284)</f>
        <v>0.61700429487653952</v>
      </c>
      <c r="AL5" s="20">
        <f t="shared" si="4"/>
        <v>3.4978567405008154</v>
      </c>
      <c r="AM5" s="59">
        <f t="shared" si="5"/>
        <v>296.83119007383414</v>
      </c>
      <c r="AN5" s="59">
        <f ca="1">AVERAGE(OFFSET($AM$3,0,0,'Données projet'!$E$10+1,1))-AVERAGE(OFFSET($H$3,0,0,'Données projet'!$E$10+1,1))</f>
        <v>191.94797389630673</v>
      </c>
      <c r="AO5" s="59">
        <f t="shared" ref="AO5:AO68" si="36">$AO$3</f>
        <v>273.52540822767878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4.05</v>
      </c>
      <c r="BD5" s="12">
        <f>IF('Données projet'!$A$88&gt;35,BD4+BC5-BL4,IF(A5&lt;'Données projet'!$A$88,$BA$205^A5,IF(A5='Données projet'!$A$88,'Données projet'!$B$88,BD4+BC5-BL4)))</f>
        <v>1.5518455739153598</v>
      </c>
      <c r="BE5" s="13">
        <f>BD5*VLOOKUP('Données projet'!$B$11,Paramètres!$A$1:$I$89,3,0)*VLOOKUP('Données projet'!$B$11,Paramètres!$A$1:$I$89,5,0)</f>
        <v>0.96835163812318448</v>
      </c>
      <c r="BF5" s="13">
        <f t="shared" ref="BF5:BF68" si="37">EXP(-1.0587+0.8836*LN(BE5)+0.284)</f>
        <v>0.44793077808416609</v>
      </c>
      <c r="BG5" s="20">
        <f t="shared" si="7"/>
        <v>2.4666918748944688</v>
      </c>
      <c r="BH5" s="59">
        <f t="shared" si="8"/>
        <v>295.80002520822779</v>
      </c>
      <c r="BI5" s="59">
        <f ca="1">AVERAGE(OFFSET($BH$3,0,0,'Données projet'!$E$11+1,1))-AVERAGE(OFFSET($H$3,0,0,'Données projet'!$E$11+1,1))</f>
        <v>162.91481796710048</v>
      </c>
      <c r="BJ5" s="59">
        <f t="shared" ref="BJ5:BJ68" si="38">$BJ$3</f>
        <v>182.56192390367823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5.75</v>
      </c>
      <c r="BY5" s="12">
        <f>IF('Données projet'!$A$114&gt;35,BY4+BX5-CG4,IF(A5&lt;'Données projet'!$A$114,$BV$205^A5,IF(A5='Données projet'!$A$114,'Données projet'!$B$114,BY4+BX5-CG4)))</f>
        <v>1.6071994829923508</v>
      </c>
      <c r="BZ5" s="13">
        <f>BY5*VLOOKUP('Données projet'!$B$12,Paramètres!$A$1:$I$89,3,0)*VLOOKUP('Données projet'!$B$12,Paramètres!$A$1:$I$89,5,0)</f>
        <v>0.75216935804042018</v>
      </c>
      <c r="CA5" s="13">
        <f t="shared" ref="CA5:CA68" si="39">EXP(-1.0587+0.8836*LN(BZ5)+0.284)</f>
        <v>0.35831464735172275</v>
      </c>
      <c r="CB5" s="20">
        <f t="shared" si="10"/>
        <v>1.9340929760579824</v>
      </c>
      <c r="CC5" s="59">
        <f t="shared" si="11"/>
        <v>295.26742630939128</v>
      </c>
      <c r="CD5" s="59">
        <f ca="1">AVERAGE(OFFSET($CC$3,0,0,'Données projet'!$E$12+1,1))-AVERAGE(OFFSET($H$3,0,0,'Données projet'!$E$12+1,1))</f>
        <v>123.60520571614535</v>
      </c>
      <c r="CE5" s="59">
        <f t="shared" ref="CE5:CE68" si="40">$CE$3</f>
        <v>119.00926870519527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1.3720473566232918</v>
      </c>
      <c r="CV5" s="13">
        <f t="shared" ref="CV5:CV68" si="41">EXP(-1.0587+0.8836*LN(CU5)+0.284)</f>
        <v>0.60944062808197874</v>
      </c>
      <c r="CW5" s="20">
        <f t="shared" si="13"/>
        <v>3.4510915733616798</v>
      </c>
      <c r="CX5" s="59">
        <f t="shared" si="14"/>
        <v>296.78442490669499</v>
      </c>
      <c r="CY5" s="59">
        <f ca="1">AVERAGE(OFFSET($CX$3,0,0,'Données projet'!$E$13+1,1))-AVERAGE(OFFSET($H$3,0,0,'Données projet'!$E$13+1,1))</f>
        <v>177.94336949486529</v>
      </c>
      <c r="CZ5" s="59">
        <f t="shared" ref="CZ5:CZ68" si="42">$CZ$3</f>
        <v>65.559373432574603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3.1</v>
      </c>
      <c r="DO5" s="12">
        <f>IF('Données projet'!$A$166&gt;35,DO4+DN5-DW4,IF(A5&lt;'Données projet'!$A$166,$DL$205^A5,IF(A5='Données projet'!$A$166,'Données projet'!$B$166,DO4+DN5-DW4)))</f>
        <v>1.5109119946911631</v>
      </c>
      <c r="DP5" s="17">
        <f>DO5*VLOOKUP('Données projet'!$B$14,Paramètres!$A$1:$I$89,3,0)*VLOOKUP('Données projet'!$B$14,Paramètres!$A$1:$I$89,5,0)</f>
        <v>0.90352537282531553</v>
      </c>
      <c r="DQ5" s="13">
        <f t="shared" ref="DQ5:DQ68" si="43">EXP(-1.0587+0.8836*LN(DP5)+0.284)</f>
        <v>0.42132861985658931</v>
      </c>
      <c r="DR5" s="20">
        <f t="shared" si="16"/>
        <v>2.3074540372543173</v>
      </c>
      <c r="DS5" s="59">
        <f t="shared" si="17"/>
        <v>295.64078737058765</v>
      </c>
      <c r="DT5" s="59">
        <f ca="1">AVERAGE(OFFSET($DS$3,0,0,'Données projet'!$E$14+1,1))-AVERAGE(OFFSET($H$3,0,0,'Données projet'!$E$14+1,1))</f>
        <v>165.39579887388538</v>
      </c>
      <c r="DU5" s="59">
        <f t="shared" ref="DU5:DU68" si="44">$DU$3</f>
        <v>155.89639262545802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3.5</v>
      </c>
      <c r="EJ5" s="12">
        <f>IF('Données projet'!$A$192&gt;35,EJ4+EI5-ER4,IF(A5&lt;'Données projet'!$A$192,$EG$205^A5,IF(A5='Données projet'!$A$192,'Données projet'!$B$192,EJ4+EI5-ER4)))</f>
        <v>1.5293602706452198</v>
      </c>
      <c r="EK5" s="17">
        <f>EJ5*VLOOKUP('Données projet'!$B$15,Paramètres!$A$1:$I$89,3,0)*VLOOKUP('Données projet'!$B$15,Paramètres!$A$1:$I$89,5,0)</f>
        <v>0.73562229018035075</v>
      </c>
      <c r="EL5" s="13">
        <f t="shared" ref="EL5:EL68" si="45">EXP(-1.0587+0.8836*LN(EK5)+0.284)</f>
        <v>0.35134058264208584</v>
      </c>
      <c r="EM5" s="20">
        <f t="shared" si="19"/>
        <v>1.8931270034990766</v>
      </c>
      <c r="EN5" s="59">
        <f t="shared" si="20"/>
        <v>295.22646033683242</v>
      </c>
      <c r="EO5" s="59">
        <f ca="1">AVERAGE(OFFSET($EN$3,0,0,'Données projet'!$E$15+1,1))-AVERAGE(OFFSET($H$3,0,0,'Données projet'!$E$15+1,1))</f>
        <v>252.30925789500111</v>
      </c>
      <c r="EP5" s="59">
        <f t="shared" ref="EP5:EP68" si="46">$EP$3</f>
        <v>213.96033794804805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3.5</v>
      </c>
      <c r="FE5" s="12">
        <f>IF('Données projet'!$A$218&gt;35,FE4+FD5-FM4,IF(A5&lt;'Données projet'!$A$218,$FB$205^A5,IF(A5='Données projet'!$A$218,'Données projet'!$B$218,FE4+FD5-FM4)))</f>
        <v>1.5293602706452198</v>
      </c>
      <c r="FF5" s="17">
        <f>FE5*VLOOKUP('Données projet'!$B$16,Paramètres!$A$1:$I$89,3,0)*VLOOKUP('Données projet'!$B$16,Paramètres!$A$1:$I$89,5,0)</f>
        <v>0.73562229018035075</v>
      </c>
      <c r="FG5" s="13">
        <f t="shared" ref="FG5:FG68" si="47">EXP(-1.0587+0.8836*LN(FF5)+0.284)</f>
        <v>0.35134058264208584</v>
      </c>
      <c r="FH5" s="20">
        <f t="shared" si="22"/>
        <v>1.8931270034990766</v>
      </c>
      <c r="FI5" s="59">
        <f t="shared" si="23"/>
        <v>295.22646033683242</v>
      </c>
      <c r="FJ5" s="59">
        <f ca="1">AVERAGE(OFFSET($FI$3,0,0,'Données projet'!$E$16+1,1))-AVERAGE(OFFSET($H$3,0,0,'Données projet'!$E$16+1,1))</f>
        <v>252.30925789500111</v>
      </c>
      <c r="FK5" s="59">
        <f t="shared" ref="FK5:FK68" si="48">$FK$3</f>
        <v>213.96033794804805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2.0833333333333335</v>
      </c>
      <c r="FZ5" s="12">
        <f>IF('Données projet'!$A$244&gt;35,FZ4+FY5-GH4,IF(A5&lt;'Données projet'!$A$244,$FW$205^A5,IF(A5='Données projet'!$A$244,'Données projet'!$B$244,FZ4+FY5-GH4)))</f>
        <v>1.7099759466766971</v>
      </c>
      <c r="GA5" s="17">
        <f>FZ5*VLOOKUP('Données projet'!$B$17,Paramètres!$A$1:$I$89,3,0)*VLOOKUP('Données projet'!$B$17,Paramètres!$A$1:$I$89,5,0)</f>
        <v>1.0225656161126651</v>
      </c>
      <c r="GB5" s="13">
        <f t="shared" ref="GB5:GB68" si="49">EXP(-1.0587+0.8836*LN(GA5)+0.284)</f>
        <v>0.47001876423271316</v>
      </c>
      <c r="GC5" s="20">
        <f t="shared" si="25"/>
        <v>2.599584462434867</v>
      </c>
      <c r="GD5" s="59">
        <f t="shared" si="26"/>
        <v>295.93291779576816</v>
      </c>
      <c r="GE5" s="59">
        <f ca="1">AVERAGE(OFFSET($GD$3,0,0,'Données projet'!$E$17+1,1))-AVERAGE(OFFSET($H$3,0,0,'Données projet'!$E$17+1,1))</f>
        <v>117.54638373164624</v>
      </c>
      <c r="GF5" s="59">
        <f t="shared" ref="GF5:GF68" si="50">$GF$3</f>
        <v>133.0740262536583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</v>
      </c>
      <c r="GU5" s="12">
        <f>IF('Données projet'!$A$270&gt;35,GU4+GT5-HC4,IF(A5&lt;'Données projet'!$A$270,$GR$205^A5,IF(A5='Données projet'!$A$270,'Données projet'!$B$270,GU4+GT5-HC4)))</f>
        <v>1.903653938715878</v>
      </c>
      <c r="GV5" s="17">
        <f>GU5*VLOOKUP('Données projet'!$B$18,Paramètres!$A$1:$I$89,3,0)*VLOOKUP('Données projet'!$B$18,Paramètres!$A$1:$I$89,5,0)</f>
        <v>0.90872824418541143</v>
      </c>
      <c r="GW5" s="13">
        <f t="shared" ref="GW5:GW68" si="51">EXP(-1.0587+0.8836*LN(GV5)+0.284)</f>
        <v>0.42347167892029552</v>
      </c>
      <c r="GX5" s="20">
        <f t="shared" si="28"/>
        <v>2.320248199409106</v>
      </c>
      <c r="GY5" s="59">
        <f t="shared" si="29"/>
        <v>295.65358153274241</v>
      </c>
      <c r="GZ5" s="59">
        <f ca="1">AVERAGE(OFFSET($GY$3,0,0,'Données projet'!$E$18+1,1))-AVERAGE(OFFSET($H$3,0,0,'Données projet'!$E$18+1,1))</f>
        <v>43.147469606759159</v>
      </c>
      <c r="HA5" s="59">
        <f t="shared" ref="HA5:HA68" si="52">$HA$3</f>
        <v>147.46995307968473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1.5040232524285473</v>
      </c>
      <c r="O6" s="13">
        <f>N6*VLOOKUP('Données projet'!$B$9,Paramètres!$A$1:$I$89,3,0)*VLOOKUP('Données projet'!$B$9,Paramètres!$A$1:$I$89,5,0)</f>
        <v>1.3608402387973495</v>
      </c>
      <c r="P6" s="13">
        <f t="shared" si="33"/>
        <v>0.60503995622724338</v>
      </c>
      <c r="Q6" s="20">
        <f t="shared" si="2"/>
        <v>3.4239080063344987</v>
      </c>
      <c r="R6" s="59">
        <f t="shared" si="0"/>
        <v>296.75724133966781</v>
      </c>
      <c r="S6" s="59">
        <f ca="1">AVERAGE(OFFSET($R$3,0,0,'Données projet'!$E$9+1,1))-AVERAGE(OFFSET($H$3,0,0,'Données projet'!$E$9+1,1))</f>
        <v>138.8931001150624</v>
      </c>
      <c r="T6" s="59">
        <f t="shared" si="34"/>
        <v>48.964659354096625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5.25</v>
      </c>
      <c r="AI6" s="13">
        <f>IF('Données projet'!$A$62&gt;35,AI5+AH6-AQ5,IF(A6&lt;'Données projet'!$A$62,$AF$205^A6,IF(A6='Données projet'!$A$62,'Données projet'!$B$62,AI5+AH6-AQ5)))</f>
        <v>2.0099182558720745</v>
      </c>
      <c r="AJ6" s="13">
        <f>AI6*VLOOKUP('Données projet'!$B$10,Paramètres!$A$1:$I$89,3,0)*VLOOKUP('Données projet'!$B$10,Paramètres!$A$1:$I$89,5,0)</f>
        <v>1.7558645883298445</v>
      </c>
      <c r="AK6" s="13">
        <f t="shared" si="35"/>
        <v>0.75785187657189812</v>
      </c>
      <c r="AL6" s="20">
        <f t="shared" si="4"/>
        <v>4.378056176370535</v>
      </c>
      <c r="AM6" s="59">
        <f t="shared" si="5"/>
        <v>297.71138950970385</v>
      </c>
      <c r="AN6" s="59">
        <f ca="1">AVERAGE(OFFSET($AM$3,0,0,'Données projet'!$E$10+1,1))-AVERAGE(OFFSET($H$3,0,0,'Données projet'!$E$10+1,1))</f>
        <v>191.94797389630673</v>
      </c>
      <c r="AO6" s="59">
        <f t="shared" si="36"/>
        <v>273.52540822767878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4.05</v>
      </c>
      <c r="BD6" s="12">
        <f>IF('Données projet'!$A$88&gt;35,BD5+BC6-BL5,IF(A6&lt;'Données projet'!$A$88,$BA$205^A6,IF(A6='Données projet'!$A$88,'Données projet'!$B$88,BD5+BC6-BL5)))</f>
        <v>1.9331820449317632</v>
      </c>
      <c r="BE6" s="13">
        <f>BD6*VLOOKUP('Données projet'!$B$11,Paramètres!$A$1:$I$89,3,0)*VLOOKUP('Données projet'!$B$11,Paramètres!$A$1:$I$89,5,0)</f>
        <v>1.2063055960374203</v>
      </c>
      <c r="BF6" s="13">
        <f t="shared" si="37"/>
        <v>0.54391091318892171</v>
      </c>
      <c r="BG6" s="20">
        <f t="shared" si="7"/>
        <v>3.0482937535692121</v>
      </c>
      <c r="BH6" s="59">
        <f t="shared" si="8"/>
        <v>296.38162708690254</v>
      </c>
      <c r="BI6" s="59">
        <f ca="1">AVERAGE(OFFSET($BH$3,0,0,'Données projet'!$E$11+1,1))-AVERAGE(OFFSET($H$3,0,0,'Données projet'!$E$11+1,1))</f>
        <v>162.91481796710048</v>
      </c>
      <c r="BJ6" s="59">
        <f t="shared" si="38"/>
        <v>182.56192390367823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5.75</v>
      </c>
      <c r="BY6" s="12">
        <f>IF('Données projet'!$A$114&gt;35,BY5+BX6-CG5,IF(A6&lt;'Données projet'!$A$114,$BV$205^A6,IF(A6='Données projet'!$A$114,'Données projet'!$B$114,BY5+BX6-CG5)))</f>
        <v>2.0375331160043926</v>
      </c>
      <c r="BZ6" s="13">
        <f>BY6*VLOOKUP('Données projet'!$B$12,Paramètres!$A$1:$I$89,3,0)*VLOOKUP('Données projet'!$B$12,Paramètres!$A$1:$I$89,5,0)</f>
        <v>0.95356549829005577</v>
      </c>
      <c r="CA6" s="13">
        <f t="shared" si="39"/>
        <v>0.44188187933534279</v>
      </c>
      <c r="CB6" s="20">
        <f t="shared" si="10"/>
        <v>2.4304041826975693</v>
      </c>
      <c r="CC6" s="59">
        <f t="shared" si="11"/>
        <v>295.76373751603086</v>
      </c>
      <c r="CD6" s="59">
        <f ca="1">AVERAGE(OFFSET($CC$3,0,0,'Données projet'!$E$12+1,1))-AVERAGE(OFFSET($H$3,0,0,'Données projet'!$E$12+1,1))</f>
        <v>123.60520571614535</v>
      </c>
      <c r="CE6" s="59">
        <f t="shared" si="40"/>
        <v>119.00926870519527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1.5720051034383178</v>
      </c>
      <c r="CV6" s="13">
        <f t="shared" si="41"/>
        <v>0.68728802421000335</v>
      </c>
      <c r="CW6" s="20">
        <f t="shared" si="13"/>
        <v>3.9349355306541596</v>
      </c>
      <c r="CX6" s="59">
        <f t="shared" si="14"/>
        <v>297.26826886398749</v>
      </c>
      <c r="CY6" s="59">
        <f ca="1">AVERAGE(OFFSET($CX$3,0,0,'Données projet'!$E$13+1,1))-AVERAGE(OFFSET($H$3,0,0,'Données projet'!$E$13+1,1))</f>
        <v>177.94336949486529</v>
      </c>
      <c r="CZ6" s="59">
        <f t="shared" si="42"/>
        <v>65.559373432574603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3.1</v>
      </c>
      <c r="DO6" s="12">
        <f>IF('Données projet'!$A$166&gt;35,DO5+DN6-DW5,IF(A6&lt;'Données projet'!$A$166,$DL$205^A6,IF(A6='Données projet'!$A$166,'Données projet'!$B$166,DO5+DN6-DW5)))</f>
        <v>1.8572003353975992</v>
      </c>
      <c r="DP6" s="17">
        <f>DO6*VLOOKUP('Données projet'!$B$14,Paramètres!$A$1:$I$89,3,0)*VLOOKUP('Données projet'!$B$14,Paramètres!$A$1:$I$89,5,0)</f>
        <v>1.1106058005677644</v>
      </c>
      <c r="DQ6" s="13">
        <f t="shared" si="43"/>
        <v>0.50560204931497998</v>
      </c>
      <c r="DR6" s="20">
        <f t="shared" si="16"/>
        <v>2.8148953385457798</v>
      </c>
      <c r="DS6" s="59">
        <f t="shared" si="17"/>
        <v>296.14822867187911</v>
      </c>
      <c r="DT6" s="59">
        <f ca="1">AVERAGE(OFFSET($DS$3,0,0,'Données projet'!$E$14+1,1))-AVERAGE(OFFSET($H$3,0,0,'Données projet'!$E$14+1,1))</f>
        <v>165.39579887388538</v>
      </c>
      <c r="DU6" s="59">
        <f t="shared" si="44"/>
        <v>155.89639262545802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3.5</v>
      </c>
      <c r="EJ6" s="12">
        <f>IF('Données projet'!$A$192&gt;35,EJ5+EI6-ER5,IF(A6&lt;'Données projet'!$A$192,$EG$205^A6,IF(A6='Données projet'!$A$192,'Données projet'!$B$192,EJ5+EI6-ER5)))</f>
        <v>1.8913186539746853</v>
      </c>
      <c r="EK6" s="17">
        <f>EJ6*VLOOKUP('Données projet'!$B$15,Paramètres!$A$1:$I$89,3,0)*VLOOKUP('Données projet'!$B$15,Paramètres!$A$1:$I$89,5,0)</f>
        <v>0.90972427256182364</v>
      </c>
      <c r="EL6" s="13">
        <f t="shared" si="45"/>
        <v>0.42388177920339304</v>
      </c>
      <c r="EM6" s="20">
        <f t="shared" si="19"/>
        <v>2.3226972068244187</v>
      </c>
      <c r="EN6" s="59">
        <f t="shared" si="20"/>
        <v>295.65603054015776</v>
      </c>
      <c r="EO6" s="59">
        <f ca="1">AVERAGE(OFFSET($EN$3,0,0,'Données projet'!$E$15+1,1))-AVERAGE(OFFSET($H$3,0,0,'Données projet'!$E$15+1,1))</f>
        <v>252.30925789500111</v>
      </c>
      <c r="EP6" s="59">
        <f t="shared" si="46"/>
        <v>213.96033794804805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3.5</v>
      </c>
      <c r="FE6" s="12">
        <f>IF('Données projet'!$A$218&gt;35,FE5+FD6-FM5,IF(A6&lt;'Données projet'!$A$218,$FB$205^A6,IF(A6='Données projet'!$A$218,'Données projet'!$B$218,FE5+FD6-FM5)))</f>
        <v>1.8913186539746853</v>
      </c>
      <c r="FF6" s="17">
        <f>FE6*VLOOKUP('Données projet'!$B$16,Paramètres!$A$1:$I$89,3,0)*VLOOKUP('Données projet'!$B$16,Paramètres!$A$1:$I$89,5,0)</f>
        <v>0.90972427256182364</v>
      </c>
      <c r="FG6" s="13">
        <f t="shared" si="47"/>
        <v>0.42388177920339304</v>
      </c>
      <c r="FH6" s="20">
        <f t="shared" si="22"/>
        <v>2.3226972068244187</v>
      </c>
      <c r="FI6" s="59">
        <f t="shared" si="23"/>
        <v>295.65603054015776</v>
      </c>
      <c r="FJ6" s="59">
        <f ca="1">AVERAGE(OFFSET($FI$3,0,0,'Données projet'!$E$16+1,1))-AVERAGE(OFFSET($H$3,0,0,'Données projet'!$E$16+1,1))</f>
        <v>252.30925789500111</v>
      </c>
      <c r="FK6" s="59">
        <f t="shared" si="48"/>
        <v>213.96033794804805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2.0833333333333335</v>
      </c>
      <c r="FZ6" s="12">
        <f>IF('Données projet'!$A$244&gt;35,FZ5+FY6-GH5,IF(A6&lt;'Données projet'!$A$244,$FW$205^A6,IF(A6='Données projet'!$A$244,'Données projet'!$B$244,FZ5+FY6-GH5)))</f>
        <v>2.2360679774997898</v>
      </c>
      <c r="GA6" s="17">
        <f>FZ6*VLOOKUP('Données projet'!$B$17,Paramètres!$A$1:$I$89,3,0)*VLOOKUP('Données projet'!$B$17,Paramètres!$A$1:$I$89,5,0)</f>
        <v>1.3371686505448743</v>
      </c>
      <c r="GB6" s="13">
        <f t="shared" si="49"/>
        <v>0.59573097109501338</v>
      </c>
      <c r="GC6" s="20">
        <f t="shared" si="25"/>
        <v>3.3664668410228042</v>
      </c>
      <c r="GD6" s="59">
        <f t="shared" si="26"/>
        <v>296.69980017435614</v>
      </c>
      <c r="GE6" s="59">
        <f ca="1">AVERAGE(OFFSET($GD$3,0,0,'Données projet'!$E$17+1,1))-AVERAGE(OFFSET($H$3,0,0,'Données projet'!$E$17+1,1))</f>
        <v>117.54638373164624</v>
      </c>
      <c r="GF6" s="59">
        <f t="shared" si="50"/>
        <v>133.0740262536583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</v>
      </c>
      <c r="GU6" s="12">
        <f>IF('Données projet'!$A$270&gt;35,GU5+GT6-HC5,IF(A6&lt;'Données projet'!$A$270,$GR$205^A6,IF(A6='Données projet'!$A$270,'Données projet'!$B$270,GU5+GT6-HC5)))</f>
        <v>2.6265278044037661</v>
      </c>
      <c r="GV6" s="17">
        <f>GU6*VLOOKUP('Données projet'!$B$18,Paramètres!$A$1:$I$89,3,0)*VLOOKUP('Données projet'!$B$18,Paramètres!$A$1:$I$89,5,0)</f>
        <v>1.2537993127101819</v>
      </c>
      <c r="GW6" s="13">
        <f t="shared" si="51"/>
        <v>0.56278997135415554</v>
      </c>
      <c r="GX6" s="20">
        <f t="shared" si="28"/>
        <v>3.1638930030787207</v>
      </c>
      <c r="GY6" s="59">
        <f t="shared" si="29"/>
        <v>296.49722633641204</v>
      </c>
      <c r="GZ6" s="59">
        <f ca="1">AVERAGE(OFFSET($GY$3,0,0,'Données projet'!$E$18+1,1))-AVERAGE(OFFSET($H$3,0,0,'Données projet'!$E$18+1,1))</f>
        <v>43.147469606759159</v>
      </c>
      <c r="HA6" s="59">
        <f t="shared" si="52"/>
        <v>147.46995307968473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1.7232147397057538</v>
      </c>
      <c r="O7" s="13">
        <f>N7*VLOOKUP('Données projet'!$B$9,Paramètres!$A$1:$I$89,3,0)*VLOOKUP('Données projet'!$B$9,Paramètres!$A$1:$I$89,5,0)</f>
        <v>1.5591646964857659</v>
      </c>
      <c r="P7" s="13">
        <f t="shared" si="33"/>
        <v>0.68232522894353675</v>
      </c>
      <c r="Q7" s="20">
        <f t="shared" si="2"/>
        <v>3.9039282867893692</v>
      </c>
      <c r="R7" s="59">
        <f t="shared" si="0"/>
        <v>297.23726162012269</v>
      </c>
      <c r="S7" s="59">
        <f ca="1">AVERAGE(OFFSET($R$3,0,0,'Données projet'!$E$9+1,1))-AVERAGE(OFFSET($H$3,0,0,'Données projet'!$E$9+1,1))</f>
        <v>138.8931001150624</v>
      </c>
      <c r="T7" s="59">
        <f t="shared" si="34"/>
        <v>48.964659354096625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5.25</v>
      </c>
      <c r="AI7" s="13">
        <f>IF('Données projet'!$A$62&gt;35,AI6+AH7-AQ6,IF(A7&lt;'Données projet'!$A$62,$AF$205^A7,IF(A7='Données projet'!$A$62,'Données projet'!$B$62,AI6+AH7-AQ6)))</f>
        <v>2.5365174816357365</v>
      </c>
      <c r="AJ7" s="13">
        <f>AI7*VLOOKUP('Données projet'!$B$10,Paramètres!$A$1:$I$89,3,0)*VLOOKUP('Données projet'!$B$10,Paramètres!$A$1:$I$89,5,0)</f>
        <v>2.21590167195698</v>
      </c>
      <c r="AK7" s="13">
        <f t="shared" si="35"/>
        <v>0.93085165142727433</v>
      </c>
      <c r="AL7" s="20">
        <f t="shared" si="4"/>
        <v>5.4805953715609093</v>
      </c>
      <c r="AM7" s="59">
        <f t="shared" si="5"/>
        <v>298.81392870489424</v>
      </c>
      <c r="AN7" s="59">
        <f ca="1">AVERAGE(OFFSET($AM$3,0,0,'Données projet'!$E$10+1,1))-AVERAGE(OFFSET($H$3,0,0,'Données projet'!$E$10+1,1))</f>
        <v>191.94797389630673</v>
      </c>
      <c r="AO7" s="59">
        <f t="shared" si="36"/>
        <v>273.52540822767878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4.05</v>
      </c>
      <c r="BD7" s="12">
        <f>IF('Données projet'!$A$88&gt;35,BD6+BC7-BL6,IF(A7&lt;'Données projet'!$A$88,$BA$205^A7,IF(A7='Données projet'!$A$88,'Données projet'!$B$88,BD6+BC7-BL6)))</f>
        <v>2.4082246852806923</v>
      </c>
      <c r="BE7" s="13">
        <f>BD7*VLOOKUP('Données projet'!$B$11,Paramètres!$A$1:$I$89,3,0)*VLOOKUP('Données projet'!$B$11,Paramètres!$A$1:$I$89,5,0)</f>
        <v>1.502732203615152</v>
      </c>
      <c r="BF7" s="13">
        <f t="shared" si="37"/>
        <v>0.66045714195245242</v>
      </c>
      <c r="BG7" s="20">
        <f t="shared" si="7"/>
        <v>3.767554776863578</v>
      </c>
      <c r="BH7" s="59">
        <f t="shared" si="8"/>
        <v>297.10088811019688</v>
      </c>
      <c r="BI7" s="59">
        <f ca="1">AVERAGE(OFFSET($BH$3,0,0,'Données projet'!$E$11+1,1))-AVERAGE(OFFSET($H$3,0,0,'Données projet'!$E$11+1,1))</f>
        <v>162.91481796710048</v>
      </c>
      <c r="BJ7" s="59">
        <f t="shared" si="38"/>
        <v>182.56192390367823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5.75</v>
      </c>
      <c r="BY7" s="12">
        <f>IF('Données projet'!$A$114&gt;35,BY6+BX7-CG6,IF(A7&lt;'Données projet'!$A$114,$BV$205^A7,IF(A7='Données projet'!$A$114,'Données projet'!$B$114,BY6+BX7-CG6)))</f>
        <v>2.5830901781308797</v>
      </c>
      <c r="BZ7" s="13">
        <f>BY7*VLOOKUP('Données projet'!$B$12,Paramètres!$A$1:$I$89,3,0)*VLOOKUP('Données projet'!$B$12,Paramètres!$A$1:$I$89,5,0)</f>
        <v>1.2088862033652517</v>
      </c>
      <c r="CA7" s="13">
        <f t="shared" si="39"/>
        <v>0.54493891535856476</v>
      </c>
      <c r="CB7" s="20">
        <f t="shared" si="10"/>
        <v>3.0545787484439804</v>
      </c>
      <c r="CC7" s="59">
        <f t="shared" si="11"/>
        <v>296.3879120817773</v>
      </c>
      <c r="CD7" s="59">
        <f ca="1">AVERAGE(OFFSET($CC$3,0,0,'Données projet'!$E$12+1,1))-AVERAGE(OFFSET($H$3,0,0,'Données projet'!$E$12+1,1))</f>
        <v>123.60520571614535</v>
      </c>
      <c r="CE7" s="59">
        <f t="shared" si="40"/>
        <v>119.00926870519527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1.8011040459404539</v>
      </c>
      <c r="CV7" s="13">
        <f t="shared" si="41"/>
        <v>0.77507932103100641</v>
      </c>
      <c r="CW7" s="20">
        <f t="shared" si="13"/>
        <v>4.4868526974752925</v>
      </c>
      <c r="CX7" s="59">
        <f t="shared" si="14"/>
        <v>297.8201860308086</v>
      </c>
      <c r="CY7" s="59">
        <f ca="1">AVERAGE(OFFSET($CX$3,0,0,'Données projet'!$E$13+1,1))-AVERAGE(OFFSET($H$3,0,0,'Données projet'!$E$13+1,1))</f>
        <v>177.94336949486529</v>
      </c>
      <c r="CZ7" s="59">
        <f t="shared" si="42"/>
        <v>65.559373432574603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3.1</v>
      </c>
      <c r="DO7" s="12">
        <f>IF('Données projet'!$A$166&gt;35,DO6+DN7-DW6,IF(A7&lt;'Données projet'!$A$166,$DL$205^A7,IF(A7='Données projet'!$A$166,'Données projet'!$B$166,DO6+DN7-DW6)))</f>
        <v>2.2828550557016292</v>
      </c>
      <c r="DP7" s="17">
        <f>DO7*VLOOKUP('Données projet'!$B$14,Paramètres!$A$1:$I$89,3,0)*VLOOKUP('Données projet'!$B$14,Paramètres!$A$1:$I$89,5,0)</f>
        <v>1.3651473233095743</v>
      </c>
      <c r="DQ7" s="13">
        <f t="shared" si="43"/>
        <v>0.60673170590338565</v>
      </c>
      <c r="DR7" s="20">
        <f t="shared" si="16"/>
        <v>3.4343559758792388</v>
      </c>
      <c r="DS7" s="59">
        <f t="shared" si="17"/>
        <v>296.76768930921253</v>
      </c>
      <c r="DT7" s="59">
        <f ca="1">AVERAGE(OFFSET($DS$3,0,0,'Données projet'!$E$14+1,1))-AVERAGE(OFFSET($H$3,0,0,'Données projet'!$E$14+1,1))</f>
        <v>165.39579887388538</v>
      </c>
      <c r="DU7" s="59">
        <f t="shared" si="44"/>
        <v>155.89639262545802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3.5</v>
      </c>
      <c r="EJ7" s="12">
        <f>IF('Données projet'!$A$192&gt;35,EJ6+EI7-ER6,IF(A7&lt;'Données projet'!$A$192,$EG$205^A7,IF(A7='Données projet'!$A$192,'Données projet'!$B$192,EJ6+EI7-ER6)))</f>
        <v>2.3389428374280201</v>
      </c>
      <c r="EK7" s="17">
        <f>EJ7*VLOOKUP('Données projet'!$B$15,Paramètres!$A$1:$I$89,3,0)*VLOOKUP('Données projet'!$B$15,Paramètres!$A$1:$I$89,5,0)</f>
        <v>1.1250315048028776</v>
      </c>
      <c r="EL7" s="13">
        <f t="shared" si="45"/>
        <v>0.51140053730619417</v>
      </c>
      <c r="EM7" s="20">
        <f t="shared" si="19"/>
        <v>2.8501191400066332</v>
      </c>
      <c r="EN7" s="59">
        <f t="shared" si="20"/>
        <v>296.18345247333997</v>
      </c>
      <c r="EO7" s="59">
        <f ca="1">AVERAGE(OFFSET($EN$3,0,0,'Données projet'!$E$15+1,1))-AVERAGE(OFFSET($H$3,0,0,'Données projet'!$E$15+1,1))</f>
        <v>252.30925789500111</v>
      </c>
      <c r="EP7" s="59">
        <f t="shared" si="46"/>
        <v>213.96033794804805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3.5</v>
      </c>
      <c r="FE7" s="12">
        <f>IF('Données projet'!$A$218&gt;35,FE6+FD7-FM6,IF(A7&lt;'Données projet'!$A$218,$FB$205^A7,IF(A7='Données projet'!$A$218,'Données projet'!$B$218,FE6+FD7-FM6)))</f>
        <v>2.3389428374280201</v>
      </c>
      <c r="FF7" s="17">
        <f>FE7*VLOOKUP('Données projet'!$B$16,Paramètres!$A$1:$I$89,3,0)*VLOOKUP('Données projet'!$B$16,Paramètres!$A$1:$I$89,5,0)</f>
        <v>1.1250315048028776</v>
      </c>
      <c r="FG7" s="13">
        <f t="shared" si="47"/>
        <v>0.51140053730619417</v>
      </c>
      <c r="FH7" s="20">
        <f t="shared" si="22"/>
        <v>2.8501191400066332</v>
      </c>
      <c r="FI7" s="59">
        <f t="shared" si="23"/>
        <v>296.18345247333997</v>
      </c>
      <c r="FJ7" s="59">
        <f ca="1">AVERAGE(OFFSET($FI$3,0,0,'Données projet'!$E$16+1,1))-AVERAGE(OFFSET($H$3,0,0,'Données projet'!$E$16+1,1))</f>
        <v>252.30925789500111</v>
      </c>
      <c r="FK7" s="59">
        <f t="shared" si="48"/>
        <v>213.96033794804805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2.0833333333333335</v>
      </c>
      <c r="FZ7" s="12">
        <f>IF('Données projet'!$A$244&gt;35,FZ6+FY7-GH6,IF(A7&lt;'Données projet'!$A$244,$FW$205^A7,IF(A7='Données projet'!$A$244,'Données projet'!$B$244,FZ6+FY7-GH6)))</f>
        <v>2.9240177382128665</v>
      </c>
      <c r="GA7" s="17">
        <f>FZ7*VLOOKUP('Données projet'!$B$17,Paramètres!$A$1:$I$89,3,0)*VLOOKUP('Données projet'!$B$17,Paramètres!$A$1:$I$89,5,0)</f>
        <v>1.7485626074512943</v>
      </c>
      <c r="GB7" s="13">
        <f t="shared" si="49"/>
        <v>0.75506642910557031</v>
      </c>
      <c r="GC7" s="20">
        <f t="shared" si="25"/>
        <v>4.3604872386698723</v>
      </c>
      <c r="GD7" s="59">
        <f t="shared" si="26"/>
        <v>297.69382057200318</v>
      </c>
      <c r="GE7" s="59">
        <f ca="1">AVERAGE(OFFSET($GD$3,0,0,'Données projet'!$E$17+1,1))-AVERAGE(OFFSET($H$3,0,0,'Données projet'!$E$17+1,1))</f>
        <v>117.54638373164624</v>
      </c>
      <c r="GF7" s="59">
        <f t="shared" si="50"/>
        <v>133.0740262536583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</v>
      </c>
      <c r="GU7" s="12">
        <f>IF('Données projet'!$A$270&gt;35,GU6+GT7-HC6,IF(A7&lt;'Données projet'!$A$270,$GR$205^A7,IF(A7='Données projet'!$A$270,'Données projet'!$B$270,GU6+GT7-HC6)))</f>
        <v>3.6238983183884756</v>
      </c>
      <c r="GV7" s="17">
        <f>GU7*VLOOKUP('Données projet'!$B$18,Paramètres!$A$1:$I$89,3,0)*VLOOKUP('Données projet'!$B$18,Paramètres!$A$1:$I$89,5,0)</f>
        <v>1.7299041012659226</v>
      </c>
      <c r="GW7" s="13">
        <f t="shared" si="51"/>
        <v>0.74794270224721582</v>
      </c>
      <c r="GX7" s="20">
        <f t="shared" si="28"/>
        <v>4.3155831827853826</v>
      </c>
      <c r="GY7" s="59">
        <f t="shared" si="29"/>
        <v>297.64891651611867</v>
      </c>
      <c r="GZ7" s="59">
        <f ca="1">AVERAGE(OFFSET($GY$3,0,0,'Données projet'!$E$18+1,1))-AVERAGE(OFFSET($H$3,0,0,'Données projet'!$E$18+1,1))</f>
        <v>43.147469606759159</v>
      </c>
      <c r="HA7" s="59">
        <f t="shared" si="52"/>
        <v>147.46995307968473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1.9743504858348202</v>
      </c>
      <c r="O8" s="13">
        <f>N8*VLOOKUP('Données projet'!$B$9,Paramètres!$A$1:$I$89,3,0)*VLOOKUP('Données projet'!$B$9,Paramètres!$A$1:$I$89,5,0)</f>
        <v>1.7863923195833453</v>
      </c>
      <c r="P8" s="13">
        <f t="shared" si="33"/>
        <v>0.76948259905993732</v>
      </c>
      <c r="Q8" s="20">
        <f t="shared" si="2"/>
        <v>4.4514821499703841</v>
      </c>
      <c r="R8" s="59">
        <f t="shared" si="0"/>
        <v>297.7848154833037</v>
      </c>
      <c r="S8" s="59">
        <f ca="1">AVERAGE(OFFSET($R$3,0,0,'Données projet'!$E$9+1,1))-AVERAGE(OFFSET($H$3,0,0,'Données projet'!$E$9+1,1))</f>
        <v>138.8931001150624</v>
      </c>
      <c r="T8" s="59">
        <f t="shared" si="34"/>
        <v>48.964659354096625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5.25</v>
      </c>
      <c r="AI8" s="13">
        <f>IF('Données projet'!$A$62&gt;35,AI7+AH8-AQ7,IF(A8&lt;'Données projet'!$A$62,$AF$205^A8,IF(A8='Données projet'!$A$62,'Données projet'!$B$62,AI7+AH8-AQ7)))</f>
        <v>3.2010858729436804</v>
      </c>
      <c r="AJ8" s="13">
        <f>AI8*VLOOKUP('Données projet'!$B$10,Paramètres!$A$1:$I$89,3,0)*VLOOKUP('Données projet'!$B$10,Paramètres!$A$1:$I$89,5,0)</f>
        <v>2.7964686186035994</v>
      </c>
      <c r="AK8" s="13">
        <f t="shared" si="35"/>
        <v>1.1433432096049962</v>
      </c>
      <c r="AL8" s="20">
        <f t="shared" si="4"/>
        <v>6.8618389341299704</v>
      </c>
      <c r="AM8" s="59">
        <f t="shared" si="5"/>
        <v>300.19517226746331</v>
      </c>
      <c r="AN8" s="59">
        <f ca="1">AVERAGE(OFFSET($AM$3,0,0,'Données projet'!$E$10+1,1))-AVERAGE(OFFSET($H$3,0,0,'Données projet'!$E$10+1,1))</f>
        <v>191.94797389630673</v>
      </c>
      <c r="AO8" s="59">
        <f t="shared" si="36"/>
        <v>273.52540822767878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4.05</v>
      </c>
      <c r="BD8" s="12">
        <f>IF('Données projet'!$A$88&gt;35,BD7+BC8-BL7,IF(A8&lt;'Données projet'!$A$88,$BA$205^A8,IF(A8='Données projet'!$A$88,'Données projet'!$B$88,BD7+BC8-BL7)))</f>
        <v>3.0000000000000004</v>
      </c>
      <c r="BE8" s="13">
        <f>BD8*VLOOKUP('Données projet'!$B$11,Paramètres!$A$1:$I$89,3,0)*VLOOKUP('Données projet'!$B$11,Paramètres!$A$1:$I$89,5,0)</f>
        <v>1.8720000000000003</v>
      </c>
      <c r="BF8" s="13">
        <f t="shared" si="37"/>
        <v>0.80197625342459578</v>
      </c>
      <c r="BG8" s="20">
        <f t="shared" si="7"/>
        <v>4.6571753080478384</v>
      </c>
      <c r="BH8" s="59">
        <f t="shared" si="8"/>
        <v>297.99050864138115</v>
      </c>
      <c r="BI8" s="59">
        <f ca="1">AVERAGE(OFFSET($BH$3,0,0,'Données projet'!$E$11+1,1))-AVERAGE(OFFSET($H$3,0,0,'Données projet'!$E$11+1,1))</f>
        <v>162.91481796710048</v>
      </c>
      <c r="BJ8" s="59">
        <f t="shared" si="38"/>
        <v>182.56192390367823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5.75</v>
      </c>
      <c r="BY8" s="12">
        <f>IF('Données projet'!$A$114&gt;35,BY7+BX8-CG7,IF(A8&lt;'Données projet'!$A$114,$BV$205^A8,IF(A8='Données projet'!$A$114,'Données projet'!$B$114,BY7+BX8-CG7)))</f>
        <v>3.2747221706220535</v>
      </c>
      <c r="BZ8" s="13">
        <f>BY8*VLOOKUP('Données projet'!$B$12,Paramètres!$A$1:$I$89,3,0)*VLOOKUP('Données projet'!$B$12,Paramètres!$A$1:$I$89,5,0)</f>
        <v>1.5325699758511209</v>
      </c>
      <c r="CA8" s="13">
        <f t="shared" si="39"/>
        <v>0.67203122680395833</v>
      </c>
      <c r="CB8" s="20">
        <f t="shared" si="10"/>
        <v>3.839680427957596</v>
      </c>
      <c r="CC8" s="59">
        <f t="shared" si="11"/>
        <v>297.17301376129092</v>
      </c>
      <c r="CD8" s="59">
        <f ca="1">AVERAGE(OFFSET($CC$3,0,0,'Données projet'!$E$12+1,1))-AVERAGE(OFFSET($H$3,0,0,'Données projet'!$E$12+1,1))</f>
        <v>123.60520571614535</v>
      </c>
      <c r="CE8" s="59">
        <f t="shared" si="40"/>
        <v>119.00926870519527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2.0635911277945542</v>
      </c>
      <c r="CV8" s="13">
        <f t="shared" si="41"/>
        <v>0.87408471081743333</v>
      </c>
      <c r="CW8" s="20">
        <f t="shared" si="13"/>
        <v>5.1164520855825444</v>
      </c>
      <c r="CX8" s="59">
        <f t="shared" si="14"/>
        <v>298.44978541891584</v>
      </c>
      <c r="CY8" s="59">
        <f ca="1">AVERAGE(OFFSET($CX$3,0,0,'Données projet'!$E$13+1,1))-AVERAGE(OFFSET($H$3,0,0,'Données projet'!$E$13+1,1))</f>
        <v>177.94336949486529</v>
      </c>
      <c r="CZ8" s="59">
        <f t="shared" si="42"/>
        <v>65.559373432574603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3.1</v>
      </c>
      <c r="DO8" s="12">
        <f>IF('Données projet'!$A$166&gt;35,DO7+DN8-DW7,IF(A8&lt;'Données projet'!$A$166,$DL$205^A8,IF(A8='Données projet'!$A$166,'Données projet'!$B$166,DO7+DN8-DW7)))</f>
        <v>2.8060662632966835</v>
      </c>
      <c r="DP8" s="17">
        <f>DO8*VLOOKUP('Données projet'!$B$14,Paramètres!$A$1:$I$89,3,0)*VLOOKUP('Données projet'!$B$14,Paramètres!$A$1:$I$89,5,0)</f>
        <v>1.678027625451417</v>
      </c>
      <c r="DQ8" s="13">
        <f t="shared" si="43"/>
        <v>0.72808914332366337</v>
      </c>
      <c r="DR8" s="20">
        <f t="shared" si="16"/>
        <v>4.1906533722832648</v>
      </c>
      <c r="DS8" s="59">
        <f t="shared" si="17"/>
        <v>297.52398670561661</v>
      </c>
      <c r="DT8" s="59">
        <f ca="1">AVERAGE(OFFSET($DS$3,0,0,'Données projet'!$E$14+1,1))-AVERAGE(OFFSET($H$3,0,0,'Données projet'!$E$14+1,1))</f>
        <v>165.39579887388538</v>
      </c>
      <c r="DU8" s="59">
        <f t="shared" si="44"/>
        <v>155.89639262545802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3.5</v>
      </c>
      <c r="EJ8" s="12">
        <f>IF('Données projet'!$A$192&gt;35,EJ7+EI8-ER7,IF(A8&lt;'Données projet'!$A$192,$EG$205^A8,IF(A8='Données projet'!$A$192,'Données projet'!$B$192,EJ7+EI8-ER7)))</f>
        <v>2.8925076085190775</v>
      </c>
      <c r="EK8" s="17">
        <f>EJ8*VLOOKUP('Données projet'!$B$15,Paramètres!$A$1:$I$89,3,0)*VLOOKUP('Données projet'!$B$15,Paramètres!$A$1:$I$89,5,0)</f>
        <v>1.3912961596976763</v>
      </c>
      <c r="EL8" s="13">
        <f t="shared" si="45"/>
        <v>0.61698927009451099</v>
      </c>
      <c r="EM8" s="20">
        <f t="shared" si="19"/>
        <v>3.4977637902213932</v>
      </c>
      <c r="EN8" s="59">
        <f t="shared" si="20"/>
        <v>296.83109712355468</v>
      </c>
      <c r="EO8" s="59">
        <f ca="1">AVERAGE(OFFSET($EN$3,0,0,'Données projet'!$E$15+1,1))-AVERAGE(OFFSET($H$3,0,0,'Données projet'!$E$15+1,1))</f>
        <v>252.30925789500111</v>
      </c>
      <c r="EP8" s="59">
        <f t="shared" si="46"/>
        <v>213.96033794804805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3.5</v>
      </c>
      <c r="FE8" s="12">
        <f>IF('Données projet'!$A$218&gt;35,FE7+FD8-FM7,IF(A8&lt;'Données projet'!$A$218,$FB$205^A8,IF(A8='Données projet'!$A$218,'Données projet'!$B$218,FE7+FD8-FM7)))</f>
        <v>2.8925076085190775</v>
      </c>
      <c r="FF8" s="17">
        <f>FE8*VLOOKUP('Données projet'!$B$16,Paramètres!$A$1:$I$89,3,0)*VLOOKUP('Données projet'!$B$16,Paramètres!$A$1:$I$89,5,0)</f>
        <v>1.3912961596976763</v>
      </c>
      <c r="FG8" s="13">
        <f t="shared" si="47"/>
        <v>0.61698927009451099</v>
      </c>
      <c r="FH8" s="20">
        <f t="shared" si="22"/>
        <v>3.4977637902213932</v>
      </c>
      <c r="FI8" s="59">
        <f t="shared" si="23"/>
        <v>296.83109712355468</v>
      </c>
      <c r="FJ8" s="59">
        <f ca="1">AVERAGE(OFFSET($FI$3,0,0,'Données projet'!$E$16+1,1))-AVERAGE(OFFSET($H$3,0,0,'Données projet'!$E$16+1,1))</f>
        <v>252.30925789500111</v>
      </c>
      <c r="FK8" s="59">
        <f t="shared" si="48"/>
        <v>213.96033794804805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2.0833333333333335</v>
      </c>
      <c r="FZ8" s="12">
        <f>IF('Données projet'!$A$244&gt;35,FZ7+FY8-GH7,IF(A8&lt;'Données projet'!$A$244,$FW$205^A8,IF(A8='Données projet'!$A$244,'Données projet'!$B$244,FZ7+FY8-GH7)))</f>
        <v>3.8236224566586507</v>
      </c>
      <c r="GA8" s="17">
        <f>FZ8*VLOOKUP('Données projet'!$B$17,Paramètres!$A$1:$I$89,3,0)*VLOOKUP('Données projet'!$B$17,Paramètres!$A$1:$I$89,5,0)</f>
        <v>2.2865262290818733</v>
      </c>
      <c r="GB8" s="13">
        <f t="shared" si="49"/>
        <v>0.95701808370696195</v>
      </c>
      <c r="GC8" s="20">
        <f t="shared" si="25"/>
        <v>5.6491730114405536</v>
      </c>
      <c r="GD8" s="59">
        <f t="shared" si="26"/>
        <v>298.98250634477387</v>
      </c>
      <c r="GE8" s="59">
        <f ca="1">AVERAGE(OFFSET($GD$3,0,0,'Données projet'!$E$17+1,1))-AVERAGE(OFFSET($H$3,0,0,'Données projet'!$E$17+1,1))</f>
        <v>117.54638373164624</v>
      </c>
      <c r="GF8" s="59">
        <f t="shared" si="50"/>
        <v>133.0740262536583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>
        <f>VLOOKUP(A8,'Données projet'!$A$269:$I$289,2,0)</f>
        <v>5</v>
      </c>
      <c r="GS8" s="12">
        <f>VLOOKUP(A8,'Données projet'!$A$269:$I$289,9,0)</f>
        <v>1</v>
      </c>
      <c r="GT8" s="12">
        <f t="array" ref="GT8">INDEX(GS:GS,MIN(IF(ISNUMBER(GS8:GS204),ROW(GS8:GS204),"")))</f>
        <v>1</v>
      </c>
      <c r="GU8" s="12">
        <f>IF('Données projet'!$A$270&gt;35,GU7+GT8-HC7,IF(A8&lt;'Données projet'!$A$270,$GR$205^A8,IF(A8='Données projet'!$A$270,'Données projet'!$B$270,GU7+GT8-HC7)))</f>
        <v>5</v>
      </c>
      <c r="GV8" s="17">
        <f>GU8*VLOOKUP('Données projet'!$B$18,Paramètres!$A$1:$I$89,3,0)*VLOOKUP('Données projet'!$B$18,Paramètres!$A$1:$I$89,5,0)</f>
        <v>2.3868</v>
      </c>
      <c r="GW8" s="13">
        <f t="shared" si="51"/>
        <v>0.99400898082605293</v>
      </c>
      <c r="GX8" s="20">
        <f t="shared" si="28"/>
        <v>5.8882423082720416</v>
      </c>
      <c r="GY8" s="59">
        <f t="shared" si="29"/>
        <v>299.22157564160534</v>
      </c>
      <c r="GZ8" s="59">
        <f ca="1">AVERAGE(OFFSET($GY$3,0,0,'Données projet'!$E$18+1,1))-AVERAGE(OFFSET($H$3,0,0,'Données projet'!$E$18+1,1))</f>
        <v>43.147469606759159</v>
      </c>
      <c r="HA8" s="59">
        <f t="shared" si="52"/>
        <v>147.46995307968473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2.2620859438457455</v>
      </c>
      <c r="O9" s="13">
        <f>N9*VLOOKUP('Données projet'!$B$9,Paramètres!$A$1:$I$89,3,0)*VLOOKUP('Données projet'!$B$9,Paramètres!$A$1:$I$89,5,0)</f>
        <v>2.0467353619916304</v>
      </c>
      <c r="P9" s="13">
        <f t="shared" si="33"/>
        <v>0.86777308699666067</v>
      </c>
      <c r="Q9" s="20">
        <f t="shared" si="2"/>
        <v>5.0761022153212734</v>
      </c>
      <c r="R9" s="59">
        <f t="shared" si="0"/>
        <v>298.40943554865459</v>
      </c>
      <c r="S9" s="59">
        <f ca="1">AVERAGE(OFFSET($R$3,0,0,'Données projet'!$E$9+1,1))-AVERAGE(OFFSET($H$3,0,0,'Données projet'!$E$9+1,1))</f>
        <v>138.8931001150624</v>
      </c>
      <c r="T9" s="59">
        <f t="shared" si="34"/>
        <v>48.964659354096625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5.25</v>
      </c>
      <c r="AI9" s="13">
        <f>IF('Données projet'!$A$62&gt;35,AI8+AH9-AQ8,IF(A9&lt;'Données projet'!$A$62,$AF$205^A9,IF(A9='Données projet'!$A$62,'Données projet'!$B$62,AI8+AH9-AQ8)))</f>
        <v>4.0397713952878425</v>
      </c>
      <c r="AJ9" s="13">
        <f>AI9*VLOOKUP('Données projet'!$B$10,Paramètres!$A$1:$I$89,3,0)*VLOOKUP('Données projet'!$B$10,Paramètres!$A$1:$I$89,5,0)</f>
        <v>3.5291442909234596</v>
      </c>
      <c r="AK9" s="13">
        <f t="shared" si="35"/>
        <v>1.4043415972303146</v>
      </c>
      <c r="AL9" s="20">
        <f t="shared" si="4"/>
        <v>8.5924879218678232</v>
      </c>
      <c r="AM9" s="59">
        <f t="shared" si="5"/>
        <v>301.92582125520113</v>
      </c>
      <c r="AN9" s="59">
        <f ca="1">AVERAGE(OFFSET($AM$3,0,0,'Données projet'!$E$10+1,1))-AVERAGE(OFFSET($H$3,0,0,'Données projet'!$E$10+1,1))</f>
        <v>191.94797389630673</v>
      </c>
      <c r="AO9" s="59">
        <f t="shared" si="36"/>
        <v>273.52540822767878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4.05</v>
      </c>
      <c r="BD9" s="12">
        <f>IF('Données projet'!$A$88&gt;35,BD8+BC9-BL8,IF(A9&lt;'Données projet'!$A$88,$BA$205^A9,IF(A9='Données projet'!$A$88,'Données projet'!$B$88,BD8+BC9-BL8)))</f>
        <v>3.7371928188465526</v>
      </c>
      <c r="BE9" s="13">
        <f>BD9*VLOOKUP('Données projet'!$B$11,Paramètres!$A$1:$I$89,3,0)*VLOOKUP('Données projet'!$B$11,Paramètres!$A$1:$I$89,5,0)</f>
        <v>2.332008318960249</v>
      </c>
      <c r="BF9" s="13">
        <f t="shared" si="37"/>
        <v>0.97381929909277032</v>
      </c>
      <c r="BG9" s="20">
        <f t="shared" si="7"/>
        <v>5.7576497681090082</v>
      </c>
      <c r="BH9" s="59">
        <f t="shared" si="8"/>
        <v>299.0909831014423</v>
      </c>
      <c r="BI9" s="59">
        <f ca="1">AVERAGE(OFFSET($BH$3,0,0,'Données projet'!$E$11+1,1))-AVERAGE(OFFSET($H$3,0,0,'Données projet'!$E$11+1,1))</f>
        <v>162.91481796710048</v>
      </c>
      <c r="BJ9" s="59">
        <f t="shared" si="38"/>
        <v>182.56192390367823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5.75</v>
      </c>
      <c r="BY9" s="12">
        <f>IF('Données projet'!$A$114&gt;35,BY8+BX9-CG8,IF(A9&lt;'Données projet'!$A$114,$BV$205^A9,IF(A9='Données projet'!$A$114,'Données projet'!$B$114,BY8+BX9-CG8)))</f>
        <v>4.1515411988145692</v>
      </c>
      <c r="BZ9" s="13">
        <f>BY9*VLOOKUP('Données projet'!$B$12,Paramètres!$A$1:$I$89,3,0)*VLOOKUP('Données projet'!$B$12,Paramètres!$A$1:$I$89,5,0)</f>
        <v>1.9429212810452183</v>
      </c>
      <c r="CA9" s="13">
        <f t="shared" si="39"/>
        <v>0.82876439371643607</v>
      </c>
      <c r="CB9" s="20">
        <f t="shared" si="10"/>
        <v>4.8273525502098815</v>
      </c>
      <c r="CC9" s="59">
        <f t="shared" si="11"/>
        <v>298.16068588354318</v>
      </c>
      <c r="CD9" s="59">
        <f ca="1">AVERAGE(OFFSET($CC$3,0,0,'Données projet'!$E$12+1,1))-AVERAGE(OFFSET($H$3,0,0,'Données projet'!$E$12+1,1))</f>
        <v>123.60520571614535</v>
      </c>
      <c r="CE9" s="59">
        <f t="shared" si="40"/>
        <v>119.00926870519527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2.3643322285075734</v>
      </c>
      <c r="CV9" s="13">
        <f t="shared" si="41"/>
        <v>0.98573663488853658</v>
      </c>
      <c r="CW9" s="20">
        <f t="shared" si="13"/>
        <v>5.8347032704148916</v>
      </c>
      <c r="CX9" s="59">
        <f t="shared" si="14"/>
        <v>299.16803660374819</v>
      </c>
      <c r="CY9" s="59">
        <f ca="1">AVERAGE(OFFSET($CX$3,0,0,'Données projet'!$E$13+1,1))-AVERAGE(OFFSET($H$3,0,0,'Données projet'!$E$13+1,1))</f>
        <v>177.94336949486529</v>
      </c>
      <c r="CZ9" s="59">
        <f t="shared" si="42"/>
        <v>65.559373432574603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3.1</v>
      </c>
      <c r="DO9" s="12">
        <f>IF('Données projet'!$A$166&gt;35,DO8+DN9-DW8,IF(A9&lt;'Données projet'!$A$166,$DL$205^A9,IF(A9='Données projet'!$A$166,'Données projet'!$B$166,DO8+DN9-DW8)))</f>
        <v>3.449193085800955</v>
      </c>
      <c r="DP9" s="17">
        <f>DO9*VLOOKUP('Données projet'!$B$14,Paramètres!$A$1:$I$89,3,0)*VLOOKUP('Données projet'!$B$14,Paramètres!$A$1:$I$89,5,0)</f>
        <v>2.0626174653089713</v>
      </c>
      <c r="DQ9" s="13">
        <f t="shared" si="43"/>
        <v>0.8737202876788509</v>
      </c>
      <c r="DR9" s="20">
        <f t="shared" si="16"/>
        <v>5.1141215864537903</v>
      </c>
      <c r="DS9" s="59">
        <f t="shared" si="17"/>
        <v>298.44745491978711</v>
      </c>
      <c r="DT9" s="59">
        <f ca="1">AVERAGE(OFFSET($DS$3,0,0,'Données projet'!$E$14+1,1))-AVERAGE(OFFSET($H$3,0,0,'Données projet'!$E$14+1,1))</f>
        <v>165.39579887388538</v>
      </c>
      <c r="DU9" s="59">
        <f t="shared" si="44"/>
        <v>155.89639262545802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3.5</v>
      </c>
      <c r="EJ9" s="12">
        <f>IF('Données projet'!$A$192&gt;35,EJ8+EI9-ER8,IF(A9&lt;'Données projet'!$A$192,$EG$205^A9,IF(A9='Données projet'!$A$192,'Données projet'!$B$192,EJ8+EI9-ER8)))</f>
        <v>3.5770862508726151</v>
      </c>
      <c r="EK9" s="17">
        <f>EJ9*VLOOKUP('Données projet'!$B$15,Paramètres!$A$1:$I$89,3,0)*VLOOKUP('Données projet'!$B$15,Paramètres!$A$1:$I$89,5,0)</f>
        <v>1.720578486669728</v>
      </c>
      <c r="EL9" s="13">
        <f t="shared" si="45"/>
        <v>0.74437888043092337</v>
      </c>
      <c r="EM9" s="20">
        <f t="shared" si="19"/>
        <v>4.2931340810336343</v>
      </c>
      <c r="EN9" s="59">
        <f t="shared" si="20"/>
        <v>297.62646741436697</v>
      </c>
      <c r="EO9" s="59">
        <f ca="1">AVERAGE(OFFSET($EN$3,0,0,'Données projet'!$E$15+1,1))-AVERAGE(OFFSET($H$3,0,0,'Données projet'!$E$15+1,1))</f>
        <v>252.30925789500111</v>
      </c>
      <c r="EP9" s="59">
        <f t="shared" si="46"/>
        <v>213.96033794804805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3.5</v>
      </c>
      <c r="FE9" s="12">
        <f>IF('Données projet'!$A$218&gt;35,FE8+FD9-FM8,IF(A9&lt;'Données projet'!$A$218,$FB$205^A9,IF(A9='Données projet'!$A$218,'Données projet'!$B$218,FE8+FD9-FM8)))</f>
        <v>3.5770862508726151</v>
      </c>
      <c r="FF9" s="17">
        <f>FE9*VLOOKUP('Données projet'!$B$16,Paramètres!$A$1:$I$89,3,0)*VLOOKUP('Données projet'!$B$16,Paramètres!$A$1:$I$89,5,0)</f>
        <v>1.720578486669728</v>
      </c>
      <c r="FG9" s="13">
        <f t="shared" si="47"/>
        <v>0.74437888043092337</v>
      </c>
      <c r="FH9" s="20">
        <f t="shared" si="22"/>
        <v>4.2931340810336343</v>
      </c>
      <c r="FI9" s="59">
        <f t="shared" si="23"/>
        <v>297.62646741436697</v>
      </c>
      <c r="FJ9" s="59">
        <f ca="1">AVERAGE(OFFSET($FI$3,0,0,'Données projet'!$E$16+1,1))-AVERAGE(OFFSET($H$3,0,0,'Données projet'!$E$16+1,1))</f>
        <v>252.30925789500111</v>
      </c>
      <c r="FK9" s="59">
        <f t="shared" si="48"/>
        <v>213.96033794804805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2.0833333333333335</v>
      </c>
      <c r="FZ9" s="12">
        <f>IF('Données projet'!$A$244&gt;35,FZ8+FY9-GH8,IF(A9&lt;'Données projet'!$A$244,$FW$205^A9,IF(A9='Données projet'!$A$244,'Données projet'!$B$244,FZ8+FY9-GH8)))</f>
        <v>5.0000000000000009</v>
      </c>
      <c r="GA9" s="17">
        <f>FZ9*VLOOKUP('Données projet'!$B$17,Paramètres!$A$1:$I$89,3,0)*VLOOKUP('Données projet'!$B$17,Paramètres!$A$1:$I$89,5,0)</f>
        <v>2.9900000000000011</v>
      </c>
      <c r="GB9" s="13">
        <f t="shared" si="49"/>
        <v>1.212984152436859</v>
      </c>
      <c r="GC9" s="20">
        <f t="shared" si="25"/>
        <v>7.3201973988275313</v>
      </c>
      <c r="GD9" s="59">
        <f t="shared" si="26"/>
        <v>300.65353073216085</v>
      </c>
      <c r="GE9" s="59">
        <f ca="1">AVERAGE(OFFSET($GD$3,0,0,'Données projet'!$E$17+1,1))-AVERAGE(OFFSET($H$3,0,0,'Données projet'!$E$17+1,1))</f>
        <v>117.54638373164624</v>
      </c>
      <c r="GF9" s="59">
        <f t="shared" si="50"/>
        <v>133.0740262536583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6.8</v>
      </c>
      <c r="GU9" s="12">
        <f>IF('Données projet'!$A$270&gt;35,GU8+GT9-HC8,IF(A9&lt;'Données projet'!$A$270,$GR$205^A9,IF(A9='Données projet'!$A$270,'Données projet'!$B$270,GU8+GT9-HC8)))</f>
        <v>11.8</v>
      </c>
      <c r="GV9" s="17">
        <f>GU9*VLOOKUP('Données projet'!$B$18,Paramètres!$A$1:$I$89,3,0)*VLOOKUP('Données projet'!$B$18,Paramètres!$A$1:$I$89,5,0)</f>
        <v>5.632848000000001</v>
      </c>
      <c r="GW9" s="13">
        <f t="shared" si="51"/>
        <v>2.122732914805689</v>
      </c>
      <c r="GX9" s="20">
        <f t="shared" si="28"/>
        <v>13.507636759953243</v>
      </c>
      <c r="GY9" s="59">
        <f t="shared" si="29"/>
        <v>306.84097009328656</v>
      </c>
      <c r="GZ9" s="59">
        <f ca="1">AVERAGE(OFFSET($GY$3,0,0,'Données projet'!$E$18+1,1))-AVERAGE(OFFSET($H$3,0,0,'Données projet'!$E$18+1,1))</f>
        <v>43.147469606759159</v>
      </c>
      <c r="HA9" s="59">
        <f t="shared" si="52"/>
        <v>147.46995307968473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2.5917550374450604</v>
      </c>
      <c r="O10" s="13">
        <f>N10*VLOOKUP('Données projet'!$B$9,Paramètres!$A$1:$I$89,3,0)*VLOOKUP('Données projet'!$B$9,Paramètres!$A$1:$I$89,5,0)</f>
        <v>2.3450199578802908</v>
      </c>
      <c r="P10" s="13">
        <f t="shared" si="33"/>
        <v>0.97861879064669866</v>
      </c>
      <c r="Q10" s="20">
        <f t="shared" si="2"/>
        <v>5.7886708203511725</v>
      </c>
      <c r="R10" s="59">
        <f t="shared" si="0"/>
        <v>299.12200415368449</v>
      </c>
      <c r="S10" s="59">
        <f ca="1">AVERAGE(OFFSET($R$3,0,0,'Données projet'!$E$9+1,1))-AVERAGE(OFFSET($H$3,0,0,'Données projet'!$E$9+1,1))</f>
        <v>138.8931001150624</v>
      </c>
      <c r="T10" s="59">
        <f t="shared" si="34"/>
        <v>48.964659354096625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5.25</v>
      </c>
      <c r="AI10" s="13">
        <f>IF('Données projet'!$A$62&gt;35,AI9+AH10-AQ9,IF(A10&lt;'Données projet'!$A$62,$AF$205^A10,IF(A10='Données projet'!$A$62,'Données projet'!$B$62,AI9+AH10-AQ9)))</f>
        <v>5.0981927926783266</v>
      </c>
      <c r="AJ10" s="13">
        <f>AI10*VLOOKUP('Données projet'!$B$10,Paramètres!$A$1:$I$89,3,0)*VLOOKUP('Données projet'!$B$10,Paramètres!$A$1:$I$89,5,0)</f>
        <v>4.4537812236837864</v>
      </c>
      <c r="AK10" s="13">
        <f t="shared" si="35"/>
        <v>1.7249197836166281</v>
      </c>
      <c r="AL10" s="20">
        <f t="shared" si="4"/>
        <v>10.761237587714888</v>
      </c>
      <c r="AM10" s="59">
        <f t="shared" si="5"/>
        <v>304.09457092104822</v>
      </c>
      <c r="AN10" s="59">
        <f ca="1">AVERAGE(OFFSET($AM$3,0,0,'Données projet'!$E$10+1,1))-AVERAGE(OFFSET($H$3,0,0,'Données projet'!$E$10+1,1))</f>
        <v>191.94797389630673</v>
      </c>
      <c r="AO10" s="59">
        <f t="shared" si="36"/>
        <v>273.52540822767878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4.05</v>
      </c>
      <c r="BD10" s="12">
        <f>IF('Données projet'!$A$88&gt;35,BD9+BC10-BL9,IF(A10&lt;'Données projet'!$A$88,$BA$205^A10,IF(A10='Données projet'!$A$88,'Données projet'!$B$88,BD9+BC10-BL9)))</f>
        <v>4.6555367217460804</v>
      </c>
      <c r="BE10" s="13">
        <f>BD10*VLOOKUP('Données projet'!$B$11,Paramètres!$A$1:$I$89,3,0)*VLOOKUP('Données projet'!$B$11,Paramètres!$A$1:$I$89,5,0)</f>
        <v>2.9050549143695541</v>
      </c>
      <c r="BF10" s="13">
        <f t="shared" si="37"/>
        <v>1.1824839242259417</v>
      </c>
      <c r="BG10" s="20">
        <f t="shared" si="7"/>
        <v>7.1191301438871548</v>
      </c>
      <c r="BH10" s="59">
        <f t="shared" si="8"/>
        <v>300.45246347722048</v>
      </c>
      <c r="BI10" s="59">
        <f ca="1">AVERAGE(OFFSET($BH$3,0,0,'Données projet'!$E$11+1,1))-AVERAGE(OFFSET($H$3,0,0,'Données projet'!$E$11+1,1))</f>
        <v>162.91481796710048</v>
      </c>
      <c r="BJ10" s="59">
        <f t="shared" si="38"/>
        <v>182.56192390367823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5.75</v>
      </c>
      <c r="BY10" s="12">
        <f>IF('Données projet'!$A$114&gt;35,BY9+BX10-CG9,IF(A10&lt;'Données projet'!$A$114,$BV$205^A10,IF(A10='Données projet'!$A$114,'Données projet'!$B$114,BY9+BX10-CG9)))</f>
        <v>5.2631317795673525</v>
      </c>
      <c r="BZ10" s="13">
        <f>BY10*VLOOKUP('Données projet'!$B$12,Paramètres!$A$1:$I$89,3,0)*VLOOKUP('Données projet'!$B$12,Paramètres!$A$1:$I$89,5,0)</f>
        <v>2.4631456728375212</v>
      </c>
      <c r="CA10" s="13">
        <f t="shared" si="39"/>
        <v>1.0220513465701448</v>
      </c>
      <c r="CB10" s="20">
        <f t="shared" si="10"/>
        <v>6.0700514754683512</v>
      </c>
      <c r="CC10" s="59">
        <f t="shared" si="11"/>
        <v>299.40338480880166</v>
      </c>
      <c r="CD10" s="59">
        <f ca="1">AVERAGE(OFFSET($CC$3,0,0,'Données projet'!$E$12+1,1))-AVERAGE(OFFSET($H$3,0,0,'Données projet'!$E$12+1,1))</f>
        <v>123.60520571614535</v>
      </c>
      <c r="CE10" s="59">
        <f t="shared" si="40"/>
        <v>119.00926870519527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2.7089023651375772</v>
      </c>
      <c r="CV10" s="13">
        <f t="shared" si="41"/>
        <v>1.1116505086248174</v>
      </c>
      <c r="CW10" s="20">
        <f t="shared" si="13"/>
        <v>6.6541295884695044</v>
      </c>
      <c r="CX10" s="59">
        <f t="shared" si="14"/>
        <v>299.98746292180283</v>
      </c>
      <c r="CY10" s="59">
        <f ca="1">AVERAGE(OFFSET($CX$3,0,0,'Données projet'!$E$13+1,1))-AVERAGE(OFFSET($H$3,0,0,'Données projet'!$E$13+1,1))</f>
        <v>177.94336949486529</v>
      </c>
      <c r="CZ10" s="59">
        <f t="shared" si="42"/>
        <v>65.559373432574603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3.1</v>
      </c>
      <c r="DO10" s="12">
        <f>IF('Données projet'!$A$166&gt;35,DO9+DN10-DW9,IF(A10&lt;'Données projet'!$A$166,$DL$205^A10,IF(A10='Données projet'!$A$166,'Données projet'!$B$166,DO9+DN10-DW9)))</f>
        <v>4.2397191751131711</v>
      </c>
      <c r="DP10" s="17">
        <f>DO10*VLOOKUP('Données projet'!$B$14,Paramètres!$A$1:$I$89,3,0)*VLOOKUP('Données projet'!$B$14,Paramètres!$A$1:$I$89,5,0)</f>
        <v>2.5353520667176763</v>
      </c>
      <c r="DQ10" s="13">
        <f t="shared" si="43"/>
        <v>1.0484803242866916</v>
      </c>
      <c r="DR10" s="20">
        <f t="shared" si="16"/>
        <v>6.2418414143326073</v>
      </c>
      <c r="DS10" s="59">
        <f t="shared" si="17"/>
        <v>299.57517474766593</v>
      </c>
      <c r="DT10" s="59">
        <f ca="1">AVERAGE(OFFSET($DS$3,0,0,'Données projet'!$E$14+1,1))-AVERAGE(OFFSET($H$3,0,0,'Données projet'!$E$14+1,1))</f>
        <v>165.39579887388538</v>
      </c>
      <c r="DU10" s="59">
        <f t="shared" si="44"/>
        <v>155.89639262545802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3.5</v>
      </c>
      <c r="EJ10" s="12">
        <f>IF('Données projet'!$A$192&gt;35,EJ9+EI10-ER9,IF(A10&lt;'Données projet'!$A$192,$EG$205^A10,IF(A10='Données projet'!$A$192,'Données projet'!$B$192,EJ9+EI10-ER9)))</f>
        <v>4.4236862190080943</v>
      </c>
      <c r="EK10" s="17">
        <f>EJ10*VLOOKUP('Données projet'!$B$15,Paramètres!$A$1:$I$89,3,0)*VLOOKUP('Données projet'!$B$15,Paramètres!$A$1:$I$89,5,0)</f>
        <v>2.1277930713428934</v>
      </c>
      <c r="EL10" s="13">
        <f t="shared" si="45"/>
        <v>0.89807058969877585</v>
      </c>
      <c r="EM10" s="20">
        <f t="shared" si="19"/>
        <v>5.2700458763142404</v>
      </c>
      <c r="EN10" s="59">
        <f t="shared" si="20"/>
        <v>298.60337920964753</v>
      </c>
      <c r="EO10" s="59">
        <f ca="1">AVERAGE(OFFSET($EN$3,0,0,'Données projet'!$E$15+1,1))-AVERAGE(OFFSET($H$3,0,0,'Données projet'!$E$15+1,1))</f>
        <v>252.30925789500111</v>
      </c>
      <c r="EP10" s="59">
        <f t="shared" si="46"/>
        <v>213.96033794804805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3.5</v>
      </c>
      <c r="FE10" s="12">
        <f>IF('Données projet'!$A$218&gt;35,FE9+FD10-FM9,IF(A10&lt;'Données projet'!$A$218,$FB$205^A10,IF(A10='Données projet'!$A$218,'Données projet'!$B$218,FE9+FD10-FM9)))</f>
        <v>4.4236862190080943</v>
      </c>
      <c r="FF10" s="17">
        <f>FE10*VLOOKUP('Données projet'!$B$16,Paramètres!$A$1:$I$89,3,0)*VLOOKUP('Données projet'!$B$16,Paramètres!$A$1:$I$89,5,0)</f>
        <v>2.1277930713428934</v>
      </c>
      <c r="FG10" s="13">
        <f t="shared" si="47"/>
        <v>0.89807058969877585</v>
      </c>
      <c r="FH10" s="20">
        <f t="shared" si="22"/>
        <v>5.2700458763142404</v>
      </c>
      <c r="FI10" s="59">
        <f t="shared" si="23"/>
        <v>298.60337920964753</v>
      </c>
      <c r="FJ10" s="59">
        <f ca="1">AVERAGE(OFFSET($FI$3,0,0,'Données projet'!$E$16+1,1))-AVERAGE(OFFSET($H$3,0,0,'Données projet'!$E$16+1,1))</f>
        <v>252.30925789500111</v>
      </c>
      <c r="FK10" s="59">
        <f t="shared" si="48"/>
        <v>213.96033794804805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2.0833333333333335</v>
      </c>
      <c r="FZ10" s="12">
        <f>IF('Données projet'!$A$244&gt;35,FZ9+FY10-GH9,IF(A10&lt;'Données projet'!$A$244,$FW$205^A10,IF(A10='Données projet'!$A$244,'Données projet'!$B$244,FZ9+FY10-GH9)))</f>
        <v>6.5383024300591543</v>
      </c>
      <c r="GA10" s="17">
        <f>FZ10*VLOOKUP('Données projet'!$B$17,Paramètres!$A$1:$I$89,3,0)*VLOOKUP('Données projet'!$B$17,Paramètres!$A$1:$I$89,5,0)</f>
        <v>3.9099048531753748</v>
      </c>
      <c r="GB10" s="13">
        <f t="shared" si="49"/>
        <v>1.5374114440594884</v>
      </c>
      <c r="GC10" s="20">
        <f t="shared" si="25"/>
        <v>9.4874092176840534</v>
      </c>
      <c r="GD10" s="59">
        <f t="shared" si="26"/>
        <v>302.82074255101736</v>
      </c>
      <c r="GE10" s="59">
        <f ca="1">AVERAGE(OFFSET($GD$3,0,0,'Données projet'!$E$17+1,1))-AVERAGE(OFFSET($H$3,0,0,'Données projet'!$E$17+1,1))</f>
        <v>117.54638373164624</v>
      </c>
      <c r="GF10" s="59">
        <f t="shared" si="50"/>
        <v>133.0740262536583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6.8</v>
      </c>
      <c r="GU10" s="12">
        <f>IF('Données projet'!$A$270&gt;35,GU9+GT10-HC9,IF(A10&lt;'Données projet'!$A$270,$GR$205^A10,IF(A10='Données projet'!$A$270,'Données projet'!$B$270,GU9+GT10-HC9)))</f>
        <v>18.600000000000001</v>
      </c>
      <c r="GV10" s="17">
        <f>GU10*VLOOKUP('Données projet'!$B$18,Paramètres!$A$1:$I$89,3,0)*VLOOKUP('Données projet'!$B$18,Paramètres!$A$1:$I$89,5,0)</f>
        <v>8.878896000000001</v>
      </c>
      <c r="GW10" s="13">
        <f t="shared" si="51"/>
        <v>3.1733797780448616</v>
      </c>
      <c r="GX10" s="20">
        <f t="shared" si="28"/>
        <v>20.991046980094804</v>
      </c>
      <c r="GY10" s="59">
        <f t="shared" si="29"/>
        <v>314.32438031342809</v>
      </c>
      <c r="GZ10" s="59">
        <f ca="1">AVERAGE(OFFSET($GY$3,0,0,'Données projet'!$E$18+1,1))-AVERAGE(OFFSET($H$3,0,0,'Données projet'!$E$18+1,1))</f>
        <v>43.147469606759159</v>
      </c>
      <c r="HA10" s="59">
        <f t="shared" si="52"/>
        <v>147.46995307968473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2.9694690391391689</v>
      </c>
      <c r="O11" s="13">
        <f>N11*VLOOKUP('Données projet'!$B$9,Paramètres!$A$1:$I$89,3,0)*VLOOKUP('Données projet'!$B$9,Paramètres!$A$1:$I$89,5,0)</f>
        <v>2.6867755866131198</v>
      </c>
      <c r="P11" s="13">
        <f t="shared" si="33"/>
        <v>1.1036234607382931</v>
      </c>
      <c r="Q11" s="20">
        <f t="shared" si="2"/>
        <v>6.6016116741370441</v>
      </c>
      <c r="R11" s="59">
        <f t="shared" si="0"/>
        <v>299.93494500747033</v>
      </c>
      <c r="S11" s="59">
        <f ca="1">AVERAGE(OFFSET($R$3,0,0,'Données projet'!$E$9+1,1))-AVERAGE(OFFSET($H$3,0,0,'Données projet'!$E$9+1,1))</f>
        <v>138.8931001150624</v>
      </c>
      <c r="T11" s="59">
        <f t="shared" si="34"/>
        <v>48.964659354096625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5.25</v>
      </c>
      <c r="AI11" s="13">
        <f>IF('Données projet'!$A$62&gt;35,AI10+AH11-AQ10,IF(A11&lt;'Données projet'!$A$62,$AF$205^A11,IF(A11='Données projet'!$A$62,'Données projet'!$B$62,AI10+AH11-AQ10)))</f>
        <v>6.433920934643699</v>
      </c>
      <c r="AJ11" s="13">
        <f>AI11*VLOOKUP('Données projet'!$B$10,Paramètres!$A$1:$I$89,3,0)*VLOOKUP('Données projet'!$B$10,Paramètres!$A$1:$I$89,5,0)</f>
        <v>5.6206733285047363</v>
      </c>
      <c r="AK11" s="13">
        <f t="shared" si="35"/>
        <v>2.1186784367707316</v>
      </c>
      <c r="AL11" s="20">
        <f t="shared" si="4"/>
        <v>13.479370991188105</v>
      </c>
      <c r="AM11" s="59">
        <f t="shared" si="5"/>
        <v>306.81270432452141</v>
      </c>
      <c r="AN11" s="59">
        <f ca="1">AVERAGE(OFFSET($AM$3,0,0,'Données projet'!$E$10+1,1))-AVERAGE(OFFSET($H$3,0,0,'Données projet'!$E$10+1,1))</f>
        <v>191.94797389630673</v>
      </c>
      <c r="AO11" s="59">
        <f t="shared" si="36"/>
        <v>273.52540822767878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4.05</v>
      </c>
      <c r="BD11" s="12">
        <f>IF('Données projet'!$A$88&gt;35,BD10+BC11-BL10,IF(A11&lt;'Données projet'!$A$88,$BA$205^A11,IF(A11='Données projet'!$A$88,'Données projet'!$B$88,BD10+BC11-BL10)))</f>
        <v>5.7995461347952899</v>
      </c>
      <c r="BE11" s="13">
        <f>BD11*VLOOKUP('Données projet'!$B$11,Paramètres!$A$1:$I$89,3,0)*VLOOKUP('Données projet'!$B$11,Paramètres!$A$1:$I$89,5,0)</f>
        <v>3.6189167881122608</v>
      </c>
      <c r="BF11" s="13">
        <f t="shared" si="37"/>
        <v>1.4358600536623558</v>
      </c>
      <c r="BG11" s="20">
        <f t="shared" si="7"/>
        <v>8.8037363327574578</v>
      </c>
      <c r="BH11" s="59">
        <f t="shared" si="8"/>
        <v>302.13706966609078</v>
      </c>
      <c r="BI11" s="59">
        <f ca="1">AVERAGE(OFFSET($BH$3,0,0,'Données projet'!$E$11+1,1))-AVERAGE(OFFSET($H$3,0,0,'Données projet'!$E$11+1,1))</f>
        <v>162.91481796710048</v>
      </c>
      <c r="BJ11" s="59">
        <f t="shared" si="38"/>
        <v>182.56192390367823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5.75</v>
      </c>
      <c r="BY11" s="12">
        <f>IF('Données projet'!$A$114&gt;35,BY10+BX11-CG10,IF(A11&lt;'Données projet'!$A$114,$BV$205^A11,IF(A11='Données projet'!$A$114,'Données projet'!$B$114,BY10+BX11-CG10)))</f>
        <v>6.6723548683562202</v>
      </c>
      <c r="BZ11" s="13">
        <f>BY11*VLOOKUP('Données projet'!$B$12,Paramètres!$A$1:$I$89,3,0)*VLOOKUP('Données projet'!$B$12,Paramètres!$A$1:$I$89,5,0)</f>
        <v>3.1226620783907113</v>
      </c>
      <c r="CA11" s="13">
        <f t="shared" si="39"/>
        <v>1.2604172705122936</v>
      </c>
      <c r="CB11" s="20">
        <f t="shared" si="10"/>
        <v>7.6338631993393991</v>
      </c>
      <c r="CC11" s="59">
        <f t="shared" si="11"/>
        <v>300.96719653267269</v>
      </c>
      <c r="CD11" s="59">
        <f ca="1">AVERAGE(OFFSET($CC$3,0,0,'Données projet'!$E$12+1,1))-AVERAGE(OFFSET($H$3,0,0,'Données projet'!$E$12+1,1))</f>
        <v>123.60520571614535</v>
      </c>
      <c r="CE11" s="59">
        <f t="shared" si="40"/>
        <v>119.00926870519527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3.1036890397082595</v>
      </c>
      <c r="CV11" s="13">
        <f t="shared" si="41"/>
        <v>1.2536480938091046</v>
      </c>
      <c r="CW11" s="20">
        <f t="shared" si="13"/>
        <v>7.5890288408760744</v>
      </c>
      <c r="CX11" s="59">
        <f t="shared" si="14"/>
        <v>300.92236217420941</v>
      </c>
      <c r="CY11" s="59">
        <f ca="1">AVERAGE(OFFSET($CX$3,0,0,'Données projet'!$E$13+1,1))-AVERAGE(OFFSET($H$3,0,0,'Données projet'!$E$13+1,1))</f>
        <v>177.94336949486529</v>
      </c>
      <c r="CZ11" s="59">
        <f t="shared" si="42"/>
        <v>65.559373432574603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3.1</v>
      </c>
      <c r="DO11" s="12">
        <f>IF('Données projet'!$A$166&gt;35,DO10+DN11-DW10,IF(A11&lt;'Données projet'!$A$166,$DL$205^A11,IF(A11='Données projet'!$A$166,'Données projet'!$B$166,DO10+DN11-DW10)))</f>
        <v>5.2114272053424884</v>
      </c>
      <c r="DP11" s="17">
        <f>DO11*VLOOKUP('Données projet'!$B$14,Paramètres!$A$1:$I$89,3,0)*VLOOKUP('Données projet'!$B$14,Paramètres!$A$1:$I$89,5,0)</f>
        <v>3.1164334687948081</v>
      </c>
      <c r="DQ11" s="13">
        <f t="shared" si="43"/>
        <v>1.2581955643227483</v>
      </c>
      <c r="DR11" s="20">
        <f t="shared" si="16"/>
        <v>7.6191455660130769</v>
      </c>
      <c r="DS11" s="59">
        <f t="shared" si="17"/>
        <v>300.95247889934637</v>
      </c>
      <c r="DT11" s="59">
        <f ca="1">AVERAGE(OFFSET($DS$3,0,0,'Données projet'!$E$14+1,1))-AVERAGE(OFFSET($H$3,0,0,'Données projet'!$E$14+1,1))</f>
        <v>165.39579887388538</v>
      </c>
      <c r="DU11" s="59">
        <f t="shared" si="44"/>
        <v>155.89639262545802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3.5</v>
      </c>
      <c r="EJ11" s="12">
        <f>IF('Données projet'!$A$192&gt;35,EJ10+EI11-ER10,IF(A11&lt;'Données projet'!$A$192,$EG$205^A11,IF(A11='Données projet'!$A$192,'Données projet'!$B$192,EJ10+EI11-ER10)))</f>
        <v>5.4706535967558381</v>
      </c>
      <c r="EK11" s="17">
        <f>EJ11*VLOOKUP('Données projet'!$B$15,Paramètres!$A$1:$I$89,3,0)*VLOOKUP('Données projet'!$B$15,Paramètres!$A$1:$I$89,5,0)</f>
        <v>2.6313843800395582</v>
      </c>
      <c r="EL11" s="13">
        <f t="shared" si="45"/>
        <v>1.0834949852620803</v>
      </c>
      <c r="EM11" s="20">
        <f t="shared" si="19"/>
        <v>6.4700815612336875</v>
      </c>
      <c r="EN11" s="59">
        <f t="shared" si="20"/>
        <v>299.80341489456703</v>
      </c>
      <c r="EO11" s="59">
        <f ca="1">AVERAGE(OFFSET($EN$3,0,0,'Données projet'!$E$15+1,1))-AVERAGE(OFFSET($H$3,0,0,'Données projet'!$E$15+1,1))</f>
        <v>252.30925789500111</v>
      </c>
      <c r="EP11" s="59">
        <f t="shared" si="46"/>
        <v>213.96033794804805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3.5</v>
      </c>
      <c r="FE11" s="12">
        <f>IF('Données projet'!$A$218&gt;35,FE10+FD11-FM10,IF(A11&lt;'Données projet'!$A$218,$FB$205^A11,IF(A11='Données projet'!$A$218,'Données projet'!$B$218,FE10+FD11-FM10)))</f>
        <v>5.4706535967558381</v>
      </c>
      <c r="FF11" s="17">
        <f>FE11*VLOOKUP('Données projet'!$B$16,Paramètres!$A$1:$I$89,3,0)*VLOOKUP('Données projet'!$B$16,Paramètres!$A$1:$I$89,5,0)</f>
        <v>2.6313843800395582</v>
      </c>
      <c r="FG11" s="13">
        <f t="shared" si="47"/>
        <v>1.0834949852620803</v>
      </c>
      <c r="FH11" s="20">
        <f t="shared" si="22"/>
        <v>6.4700815612336875</v>
      </c>
      <c r="FI11" s="59">
        <f t="shared" si="23"/>
        <v>299.80341489456703</v>
      </c>
      <c r="FJ11" s="59">
        <f ca="1">AVERAGE(OFFSET($FI$3,0,0,'Données projet'!$E$16+1,1))-AVERAGE(OFFSET($H$3,0,0,'Données projet'!$E$16+1,1))</f>
        <v>252.30925789500111</v>
      </c>
      <c r="FK11" s="59">
        <f t="shared" si="48"/>
        <v>213.96033794804805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2.0833333333333335</v>
      </c>
      <c r="FZ11" s="12">
        <f>IF('Données projet'!$A$244&gt;35,FZ10+FY11-GH10,IF(A11&lt;'Données projet'!$A$244,$FW$205^A11,IF(A11='Données projet'!$A$244,'Données projet'!$B$244,FZ10+FY11-GH10)))</f>
        <v>8.5498797333834879</v>
      </c>
      <c r="GA11" s="17">
        <f>FZ11*VLOOKUP('Données projet'!$B$17,Paramètres!$A$1:$I$89,3,0)*VLOOKUP('Données projet'!$B$17,Paramètres!$A$1:$I$89,5,0)</f>
        <v>5.1128280805633262</v>
      </c>
      <c r="GB11" s="13">
        <f t="shared" si="49"/>
        <v>1.9486107411845339</v>
      </c>
      <c r="GC11" s="20">
        <f t="shared" si="25"/>
        <v>12.298672614544188</v>
      </c>
      <c r="GD11" s="59">
        <f t="shared" si="26"/>
        <v>305.63200594787747</v>
      </c>
      <c r="GE11" s="59">
        <f ca="1">AVERAGE(OFFSET($GD$3,0,0,'Données projet'!$E$17+1,1))-AVERAGE(OFFSET($H$3,0,0,'Données projet'!$E$17+1,1))</f>
        <v>117.54638373164624</v>
      </c>
      <c r="GF11" s="59">
        <f t="shared" si="50"/>
        <v>133.0740262536583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6.8</v>
      </c>
      <c r="GU11" s="12">
        <f>IF('Données projet'!$A$270&gt;35,GU10+GT11-HC10,IF(A11&lt;'Données projet'!$A$270,$GR$205^A11,IF(A11='Données projet'!$A$270,'Données projet'!$B$270,GU10+GT11-HC10)))</f>
        <v>25.400000000000002</v>
      </c>
      <c r="GV11" s="17">
        <f>GU11*VLOOKUP('Données projet'!$B$18,Paramètres!$A$1:$I$89,3,0)*VLOOKUP('Données projet'!$B$18,Paramètres!$A$1:$I$89,5,0)</f>
        <v>12.124944000000001</v>
      </c>
      <c r="GW11" s="13">
        <f t="shared" si="51"/>
        <v>4.1791839216089137</v>
      </c>
      <c r="GX11" s="20">
        <f t="shared" si="28"/>
        <v>28.39635613013553</v>
      </c>
      <c r="GY11" s="59">
        <f t="shared" si="29"/>
        <v>321.72968946346884</v>
      </c>
      <c r="GZ11" s="59">
        <f ca="1">AVERAGE(OFFSET($GY$3,0,0,'Données projet'!$E$18+1,1))-AVERAGE(OFFSET($H$3,0,0,'Données projet'!$E$18+1,1))</f>
        <v>43.147469606759159</v>
      </c>
      <c r="HA11" s="59">
        <f t="shared" si="52"/>
        <v>147.46995307968473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3.4022298585357786</v>
      </c>
      <c r="O12" s="13">
        <f>N12*VLOOKUP('Données projet'!$B$9,Paramètres!$A$1:$I$89,3,0)*VLOOKUP('Données projet'!$B$9,Paramètres!$A$1:$I$89,5,0)</f>
        <v>3.0783375760031726</v>
      </c>
      <c r="P12" s="13">
        <f t="shared" si="33"/>
        <v>1.2445957044081368</v>
      </c>
      <c r="Q12" s="20">
        <f t="shared" si="2"/>
        <v>7.5291087967163621</v>
      </c>
      <c r="R12" s="59">
        <f t="shared" si="0"/>
        <v>300.86244213004966</v>
      </c>
      <c r="S12" s="59">
        <f ca="1">AVERAGE(OFFSET($R$3,0,0,'Données projet'!$E$9+1,1))-AVERAGE(OFFSET($H$3,0,0,'Données projet'!$E$9+1,1))</f>
        <v>138.8931001150624</v>
      </c>
      <c r="T12" s="59">
        <f t="shared" si="34"/>
        <v>48.964659354096625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5.25</v>
      </c>
      <c r="AI12" s="13">
        <f>IF('Données projet'!$A$62&gt;35,AI11+AH12-AQ11,IF(A12&lt;'Données projet'!$A$62,$AF$205^A12,IF(A12='Données projet'!$A$62,'Données projet'!$B$62,AI11+AH12-AQ11)))</f>
        <v>8.1196102769388379</v>
      </c>
      <c r="AJ12" s="13">
        <f>AI12*VLOOKUP('Données projet'!$B$10,Paramètres!$A$1:$I$89,3,0)*VLOOKUP('Données projet'!$B$10,Paramètres!$A$1:$I$89,5,0)</f>
        <v>7.0932915379337693</v>
      </c>
      <c r="AK12" s="13">
        <f t="shared" si="35"/>
        <v>2.602322937606778</v>
      </c>
      <c r="AL12" s="20">
        <f t="shared" si="4"/>
        <v>16.886528544899786</v>
      </c>
      <c r="AM12" s="59">
        <f t="shared" si="5"/>
        <v>310.21986187823308</v>
      </c>
      <c r="AN12" s="59">
        <f ca="1">AVERAGE(OFFSET($AM$3,0,0,'Données projet'!$E$10+1,1))-AVERAGE(OFFSET($H$3,0,0,'Données projet'!$E$10+1,1))</f>
        <v>191.94797389630673</v>
      </c>
      <c r="AO12" s="59">
        <f t="shared" si="36"/>
        <v>273.52540822767878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4.05</v>
      </c>
      <c r="BD12" s="12">
        <f>IF('Données projet'!$A$88&gt;35,BD11+BC12-BL11,IF(A12&lt;'Données projet'!$A$88,$BA$205^A12,IF(A12='Données projet'!$A$88,'Données projet'!$B$88,BD11+BC12-BL11)))</f>
        <v>7.2246740558420788</v>
      </c>
      <c r="BE12" s="13">
        <f>BD12*VLOOKUP('Données projet'!$B$11,Paramètres!$A$1:$I$89,3,0)*VLOOKUP('Données projet'!$B$11,Paramètres!$A$1:$I$89,5,0)</f>
        <v>4.5081966108454568</v>
      </c>
      <c r="BF12" s="13">
        <f t="shared" si="37"/>
        <v>1.7435282217919834</v>
      </c>
      <c r="BG12" s="20">
        <f t="shared" si="7"/>
        <v>10.888420750176875</v>
      </c>
      <c r="BH12" s="59">
        <f t="shared" si="8"/>
        <v>304.22175408351018</v>
      </c>
      <c r="BI12" s="59">
        <f ca="1">AVERAGE(OFFSET($BH$3,0,0,'Données projet'!$E$11+1,1))-AVERAGE(OFFSET($H$3,0,0,'Données projet'!$E$11+1,1))</f>
        <v>162.91481796710048</v>
      </c>
      <c r="BJ12" s="59">
        <f t="shared" si="38"/>
        <v>182.56192390367823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5.75</v>
      </c>
      <c r="BY12" s="12">
        <f>IF('Données projet'!$A$114&gt;35,BY11+BX12-CG11,IF(A12&lt;'Données projet'!$A$114,$BV$205^A12,IF(A12='Données projet'!$A$114,'Données projet'!$B$114,BY11+BX12-CG11)))</f>
        <v>8.4589026750412604</v>
      </c>
      <c r="BZ12" s="13">
        <f>BY12*VLOOKUP('Données projet'!$B$12,Paramètres!$A$1:$I$89,3,0)*VLOOKUP('Données projet'!$B$12,Paramètres!$A$1:$I$89,5,0)</f>
        <v>3.9587664519193098</v>
      </c>
      <c r="CA12" s="13">
        <f t="shared" si="39"/>
        <v>1.5543756203021926</v>
      </c>
      <c r="CB12" s="20">
        <f t="shared" si="10"/>
        <v>9.6020557757857823</v>
      </c>
      <c r="CC12" s="59">
        <f t="shared" si="11"/>
        <v>302.93538910911911</v>
      </c>
      <c r="CD12" s="59">
        <f ca="1">AVERAGE(OFFSET($CC$3,0,0,'Données projet'!$E$12+1,1))-AVERAGE(OFFSET($H$3,0,0,'Données projet'!$E$12+1,1))</f>
        <v>123.60520571614535</v>
      </c>
      <c r="CE12" s="59">
        <f t="shared" si="40"/>
        <v>119.00926870519527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3.5560106481415956</v>
      </c>
      <c r="CV12" s="13">
        <f t="shared" si="41"/>
        <v>1.4137838564527014</v>
      </c>
      <c r="CW12" s="20">
        <f t="shared" si="13"/>
        <v>8.6557254288350673</v>
      </c>
      <c r="CX12" s="59">
        <f t="shared" si="14"/>
        <v>301.98905876216838</v>
      </c>
      <c r="CY12" s="59">
        <f ca="1">AVERAGE(OFFSET($CX$3,0,0,'Données projet'!$E$13+1,1))-AVERAGE(OFFSET($H$3,0,0,'Données projet'!$E$13+1,1))</f>
        <v>177.94336949486529</v>
      </c>
      <c r="CZ12" s="59">
        <f t="shared" si="42"/>
        <v>65.559373432574603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3.1</v>
      </c>
      <c r="DO12" s="12">
        <f>IF('Données projet'!$A$166&gt;35,DO11+DN12-DW11,IF(A12&lt;'Données projet'!$A$166,$DL$205^A12,IF(A12='Données projet'!$A$166,'Données projet'!$B$166,DO11+DN12-DW11)))</f>
        <v>6.4058425558006133</v>
      </c>
      <c r="DP12" s="17">
        <f>DO12*VLOOKUP('Données projet'!$B$14,Paramètres!$A$1:$I$89,3,0)*VLOOKUP('Données projet'!$B$14,Paramètres!$A$1:$I$89,5,0)</f>
        <v>3.8306938483687669</v>
      </c>
      <c r="DQ12" s="13">
        <f t="shared" si="43"/>
        <v>1.5098576877524461</v>
      </c>
      <c r="DR12" s="20">
        <f t="shared" si="16"/>
        <v>9.3014605920777775</v>
      </c>
      <c r="DS12" s="59">
        <f t="shared" si="17"/>
        <v>302.63479392541109</v>
      </c>
      <c r="DT12" s="59">
        <f ca="1">AVERAGE(OFFSET($DS$3,0,0,'Données projet'!$E$14+1,1))-AVERAGE(OFFSET($H$3,0,0,'Données projet'!$E$14+1,1))</f>
        <v>165.39579887388538</v>
      </c>
      <c r="DU12" s="59">
        <f t="shared" si="44"/>
        <v>155.89639262545802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3.5</v>
      </c>
      <c r="EJ12" s="12">
        <f>IF('Données projet'!$A$192&gt;35,EJ11+EI12-ER11,IF(A12&lt;'Données projet'!$A$192,$EG$205^A12,IF(A12='Données projet'!$A$192,'Données projet'!$B$192,EJ11+EI12-ER11)))</f>
        <v>6.7654099531517486</v>
      </c>
      <c r="EK12" s="17">
        <f>EJ12*VLOOKUP('Données projet'!$B$15,Paramètres!$A$1:$I$89,3,0)*VLOOKUP('Données projet'!$B$15,Paramètres!$A$1:$I$89,5,0)</f>
        <v>3.2541621874659912</v>
      </c>
      <c r="EL12" s="13">
        <f t="shared" si="45"/>
        <v>1.3072039064121193</v>
      </c>
      <c r="EM12" s="20">
        <f t="shared" si="19"/>
        <v>7.9443792801710416</v>
      </c>
      <c r="EN12" s="59">
        <f t="shared" si="20"/>
        <v>301.27771261350438</v>
      </c>
      <c r="EO12" s="59">
        <f ca="1">AVERAGE(OFFSET($EN$3,0,0,'Données projet'!$E$15+1,1))-AVERAGE(OFFSET($H$3,0,0,'Données projet'!$E$15+1,1))</f>
        <v>252.30925789500111</v>
      </c>
      <c r="EP12" s="59">
        <f t="shared" si="46"/>
        <v>213.96033794804805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3.5</v>
      </c>
      <c r="FE12" s="12">
        <f>IF('Données projet'!$A$218&gt;35,FE11+FD12-FM11,IF(A12&lt;'Données projet'!$A$218,$FB$205^A12,IF(A12='Données projet'!$A$218,'Données projet'!$B$218,FE11+FD12-FM11)))</f>
        <v>6.7654099531517486</v>
      </c>
      <c r="FF12" s="17">
        <f>FE12*VLOOKUP('Données projet'!$B$16,Paramètres!$A$1:$I$89,3,0)*VLOOKUP('Données projet'!$B$16,Paramètres!$A$1:$I$89,5,0)</f>
        <v>3.2541621874659912</v>
      </c>
      <c r="FG12" s="13">
        <f t="shared" si="47"/>
        <v>1.3072039064121193</v>
      </c>
      <c r="FH12" s="20">
        <f t="shared" si="22"/>
        <v>7.9443792801710416</v>
      </c>
      <c r="FI12" s="59">
        <f t="shared" si="23"/>
        <v>301.27771261350438</v>
      </c>
      <c r="FJ12" s="59">
        <f ca="1">AVERAGE(OFFSET($FI$3,0,0,'Données projet'!$E$16+1,1))-AVERAGE(OFFSET($H$3,0,0,'Données projet'!$E$16+1,1))</f>
        <v>252.30925789500111</v>
      </c>
      <c r="FK12" s="59">
        <f t="shared" si="48"/>
        <v>213.96033794804805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2.0833333333333335</v>
      </c>
      <c r="FZ12" s="12">
        <f>IF('Données projet'!$A$244&gt;35,FZ11+FY12-GH11,IF(A12&lt;'Données projet'!$A$244,$FW$205^A12,IF(A12='Données projet'!$A$244,'Données projet'!$B$244,FZ11+FY12-GH11)))</f>
        <v>11.180339887498953</v>
      </c>
      <c r="GA12" s="17">
        <f>FZ12*VLOOKUP('Données projet'!$B$17,Paramètres!$A$1:$I$89,3,0)*VLOOKUP('Données projet'!$B$17,Paramètres!$A$1:$I$89,5,0)</f>
        <v>6.6858432527243732</v>
      </c>
      <c r="GB12" s="13">
        <f t="shared" si="49"/>
        <v>2.4697902668355676</v>
      </c>
      <c r="GC12" s="20">
        <f t="shared" si="25"/>
        <v>15.946061713233563</v>
      </c>
      <c r="GD12" s="59">
        <f t="shared" si="26"/>
        <v>309.27939504656689</v>
      </c>
      <c r="GE12" s="59">
        <f ca="1">AVERAGE(OFFSET($GD$3,0,0,'Données projet'!$E$17+1,1))-AVERAGE(OFFSET($H$3,0,0,'Données projet'!$E$17+1,1))</f>
        <v>117.54638373164624</v>
      </c>
      <c r="GF12" s="59">
        <f t="shared" si="50"/>
        <v>133.0740262536583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6.8</v>
      </c>
      <c r="GU12" s="12">
        <f>IF('Données projet'!$A$270&gt;35,GU11+GT12-HC11,IF(A12&lt;'Données projet'!$A$270,$GR$205^A12,IF(A12='Données projet'!$A$270,'Données projet'!$B$270,GU11+GT12-HC11)))</f>
        <v>32.200000000000003</v>
      </c>
      <c r="GV12" s="17">
        <f>GU12*VLOOKUP('Données projet'!$B$18,Paramètres!$A$1:$I$89,3,0)*VLOOKUP('Données projet'!$B$18,Paramètres!$A$1:$I$89,5,0)</f>
        <v>15.370992000000003</v>
      </c>
      <c r="GW12" s="13">
        <f t="shared" si="51"/>
        <v>5.1537323519289</v>
      </c>
      <c r="GX12" s="20">
        <f t="shared" si="28"/>
        <v>35.747228246276173</v>
      </c>
      <c r="GY12" s="59">
        <f t="shared" si="29"/>
        <v>329.08056157960948</v>
      </c>
      <c r="GZ12" s="59">
        <f ca="1">AVERAGE(OFFSET($GY$3,0,0,'Données projet'!$E$18+1,1))-AVERAGE(OFFSET($H$3,0,0,'Données projet'!$E$18+1,1))</f>
        <v>43.147469606759159</v>
      </c>
      <c r="HA12" s="59">
        <f t="shared" si="52"/>
        <v>147.46995307968473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3.8980598409161908</v>
      </c>
      <c r="O13" s="13">
        <f>N13*VLOOKUP('Données projet'!$B$9,Paramètres!$A$1:$I$89,3,0)*VLOOKUP('Données projet'!$B$9,Paramètres!$A$1:$I$89,5,0)</f>
        <v>3.5269645440609696</v>
      </c>
      <c r="P13" s="13">
        <f t="shared" si="33"/>
        <v>1.403575152701934</v>
      </c>
      <c r="Q13" s="20">
        <f t="shared" si="2"/>
        <v>8.587356638528723</v>
      </c>
      <c r="R13" s="59">
        <f t="shared" si="0"/>
        <v>301.92068997186203</v>
      </c>
      <c r="S13" s="59">
        <f ca="1">AVERAGE(OFFSET($R$3,0,0,'Données projet'!$E$9+1,1))-AVERAGE(OFFSET($H$3,0,0,'Données projet'!$E$9+1,1))</f>
        <v>138.8931001150624</v>
      </c>
      <c r="T13" s="59">
        <f t="shared" si="34"/>
        <v>48.964659354096625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5.25</v>
      </c>
      <c r="AI13" s="13">
        <f>IF('Données projet'!$A$62&gt;35,AI12+AH13-AQ12,IF(A13&lt;'Données projet'!$A$62,$AF$205^A13,IF(A13='Données projet'!$A$62,'Données projet'!$B$62,AI12+AH13-AQ12)))</f>
        <v>10.246950765959603</v>
      </c>
      <c r="AJ13" s="13">
        <f>AI13*VLOOKUP('Données projet'!$B$10,Paramètres!$A$1:$I$89,3,0)*VLOOKUP('Données projet'!$B$10,Paramètres!$A$1:$I$89,5,0)</f>
        <v>8.9517361891423111</v>
      </c>
      <c r="AK13" s="13">
        <f t="shared" si="35"/>
        <v>3.1963721129461788</v>
      </c>
      <c r="AL13" s="20">
        <f t="shared" si="4"/>
        <v>21.157955292804118</v>
      </c>
      <c r="AM13" s="59">
        <f t="shared" si="5"/>
        <v>314.49128862613742</v>
      </c>
      <c r="AN13" s="59">
        <f ca="1">AVERAGE(OFFSET($AM$3,0,0,'Données projet'!$E$10+1,1))-AVERAGE(OFFSET($H$3,0,0,'Données projet'!$E$10+1,1))</f>
        <v>191.94797389630673</v>
      </c>
      <c r="AO13" s="59">
        <f t="shared" si="36"/>
        <v>273.52540822767878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4.05</v>
      </c>
      <c r="BD13" s="12">
        <f>IF('Données projet'!$A$88&gt;35,BD12+BC13-BL12,IF(A13&lt;'Données projet'!$A$88,$BA$205^A13,IF(A13='Données projet'!$A$88,'Données projet'!$B$88,BD12+BC13-BL12)))</f>
        <v>9.0000000000000036</v>
      </c>
      <c r="BE13" s="13">
        <f>BD13*VLOOKUP('Données projet'!$B$11,Paramètres!$A$1:$I$89,3,0)*VLOOKUP('Données projet'!$B$11,Paramètres!$A$1:$I$89,5,0)</f>
        <v>5.6160000000000014</v>
      </c>
      <c r="BF13" s="13">
        <f t="shared" si="37"/>
        <v>2.117121827041196</v>
      </c>
      <c r="BG13" s="20">
        <f t="shared" si="7"/>
        <v>13.468520515430084</v>
      </c>
      <c r="BH13" s="59">
        <f t="shared" si="8"/>
        <v>306.80185384876341</v>
      </c>
      <c r="BI13" s="59">
        <f ca="1">AVERAGE(OFFSET($BH$3,0,0,'Données projet'!$E$11+1,1))-AVERAGE(OFFSET($H$3,0,0,'Données projet'!$E$11+1,1))</f>
        <v>162.91481796710048</v>
      </c>
      <c r="BJ13" s="59">
        <f t="shared" si="38"/>
        <v>182.56192390367823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5.75</v>
      </c>
      <c r="BY13" s="12">
        <f>IF('Données projet'!$A$114&gt;35,BY12+BX13-CG12,IF(A13&lt;'Données projet'!$A$114,$BV$205^A13,IF(A13='Données projet'!$A$114,'Données projet'!$B$114,BY12+BX13-CG12)))</f>
        <v>10.723805294763611</v>
      </c>
      <c r="BZ13" s="13">
        <f>BY13*VLOOKUP('Données projet'!$B$12,Paramètres!$A$1:$I$89,3,0)*VLOOKUP('Données projet'!$B$12,Paramètres!$A$1:$I$89,5,0)</f>
        <v>5.0187408779493703</v>
      </c>
      <c r="CA13" s="13">
        <f t="shared" si="39"/>
        <v>1.9168918305981435</v>
      </c>
      <c r="CB13" s="20">
        <f t="shared" si="10"/>
        <v>12.079560300720253</v>
      </c>
      <c r="CC13" s="59">
        <f t="shared" si="11"/>
        <v>305.41289363405355</v>
      </c>
      <c r="CD13" s="59">
        <f ca="1">AVERAGE(OFFSET($CC$3,0,0,'Données projet'!$E$12+1,1))-AVERAGE(OFFSET($H$3,0,0,'Données projet'!$E$12+1,1))</f>
        <v>123.60520571614535</v>
      </c>
      <c r="CE13" s="59">
        <f t="shared" si="40"/>
        <v>119.00926870519527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4.0742521457256036</v>
      </c>
      <c r="CV13" s="13">
        <f t="shared" si="41"/>
        <v>1.5943746914599719</v>
      </c>
      <c r="CW13" s="20">
        <f t="shared" si="13"/>
        <v>9.8728584080982102</v>
      </c>
      <c r="CX13" s="59">
        <f t="shared" si="14"/>
        <v>303.20619174143155</v>
      </c>
      <c r="CY13" s="59">
        <f ca="1">AVERAGE(OFFSET($CX$3,0,0,'Données projet'!$E$13+1,1))-AVERAGE(OFFSET($H$3,0,0,'Données projet'!$E$13+1,1))</f>
        <v>177.94336949486529</v>
      </c>
      <c r="CZ13" s="59">
        <f t="shared" si="42"/>
        <v>65.559373432574603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3.1</v>
      </c>
      <c r="DO13" s="12">
        <f>IF('Données projet'!$A$166&gt;35,DO12+DN13-DW12,IF(A13&lt;'Données projet'!$A$166,$DL$205^A13,IF(A13='Données projet'!$A$166,'Données projet'!$B$166,DO12+DN13-DW12)))</f>
        <v>7.8740078740118129</v>
      </c>
      <c r="DP13" s="17">
        <f>DO13*VLOOKUP('Données projet'!$B$14,Paramètres!$A$1:$I$89,3,0)*VLOOKUP('Données projet'!$B$14,Paramètres!$A$1:$I$89,5,0)</f>
        <v>4.7086567086590643</v>
      </c>
      <c r="DQ13" s="13">
        <f t="shared" si="43"/>
        <v>1.8118568384019429</v>
      </c>
      <c r="DR13" s="20">
        <f t="shared" si="16"/>
        <v>11.356561094464588</v>
      </c>
      <c r="DS13" s="59">
        <f t="shared" si="17"/>
        <v>304.68989442779792</v>
      </c>
      <c r="DT13" s="59">
        <f ca="1">AVERAGE(OFFSET($DS$3,0,0,'Données projet'!$E$14+1,1))-AVERAGE(OFFSET($H$3,0,0,'Données projet'!$E$14+1,1))</f>
        <v>165.39579887388538</v>
      </c>
      <c r="DU13" s="59">
        <f t="shared" si="44"/>
        <v>155.89639262545802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3.5</v>
      </c>
      <c r="EJ13" s="12">
        <f>IF('Données projet'!$A$192&gt;35,EJ12+EI13-ER12,IF(A13&lt;'Données projet'!$A$192,$EG$205^A13,IF(A13='Données projet'!$A$192,'Données projet'!$B$192,EJ12+EI13-ER12)))</f>
        <v>8.3666002653407539</v>
      </c>
      <c r="EK13" s="17">
        <f>EJ13*VLOOKUP('Données projet'!$B$15,Paramètres!$A$1:$I$89,3,0)*VLOOKUP('Données projet'!$B$15,Paramètres!$A$1:$I$89,5,0)</f>
        <v>4.0243347276289025</v>
      </c>
      <c r="EL13" s="13">
        <f t="shared" si="45"/>
        <v>1.5771019489543625</v>
      </c>
      <c r="EM13" s="20">
        <f t="shared" si="19"/>
        <v>9.7558355450491874</v>
      </c>
      <c r="EN13" s="59">
        <f t="shared" si="20"/>
        <v>303.08916887838251</v>
      </c>
      <c r="EO13" s="59">
        <f ca="1">AVERAGE(OFFSET($EN$3,0,0,'Données projet'!$E$15+1,1))-AVERAGE(OFFSET($H$3,0,0,'Données projet'!$E$15+1,1))</f>
        <v>252.30925789500111</v>
      </c>
      <c r="EP13" s="59">
        <f t="shared" si="46"/>
        <v>213.96033794804805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3.5</v>
      </c>
      <c r="FE13" s="12">
        <f>IF('Données projet'!$A$218&gt;35,FE12+FD13-FM12,IF(A13&lt;'Données projet'!$A$218,$FB$205^A13,IF(A13='Données projet'!$A$218,'Données projet'!$B$218,FE12+FD13-FM12)))</f>
        <v>8.3666002653407539</v>
      </c>
      <c r="FF13" s="17">
        <f>FE13*VLOOKUP('Données projet'!$B$16,Paramètres!$A$1:$I$89,3,0)*VLOOKUP('Données projet'!$B$16,Paramètres!$A$1:$I$89,5,0)</f>
        <v>4.0243347276289025</v>
      </c>
      <c r="FG13" s="13">
        <f t="shared" si="47"/>
        <v>1.5771019489543625</v>
      </c>
      <c r="FH13" s="20">
        <f t="shared" si="22"/>
        <v>9.7558355450491874</v>
      </c>
      <c r="FI13" s="59">
        <f t="shared" si="23"/>
        <v>303.08916887838251</v>
      </c>
      <c r="FJ13" s="59">
        <f ca="1">AVERAGE(OFFSET($FI$3,0,0,'Données projet'!$E$16+1,1))-AVERAGE(OFFSET($H$3,0,0,'Données projet'!$E$16+1,1))</f>
        <v>252.30925789500111</v>
      </c>
      <c r="FK13" s="59">
        <f t="shared" si="48"/>
        <v>213.96033794804805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2.0833333333333335</v>
      </c>
      <c r="FZ13" s="12">
        <f>IF('Données projet'!$A$244&gt;35,FZ12+FY13-GH12,IF(A13&lt;'Données projet'!$A$244,$FW$205^A13,IF(A13='Données projet'!$A$244,'Données projet'!$B$244,FZ12+FY13-GH12)))</f>
        <v>14.620088691064336</v>
      </c>
      <c r="GA13" s="17">
        <f>FZ13*VLOOKUP('Données projet'!$B$17,Paramètres!$A$1:$I$89,3,0)*VLOOKUP('Données projet'!$B$17,Paramètres!$A$1:$I$89,5,0)</f>
        <v>8.7428130372564734</v>
      </c>
      <c r="GB13" s="13">
        <f t="shared" si="49"/>
        <v>3.1303655641596633</v>
      </c>
      <c r="GC13" s="20">
        <f t="shared" si="25"/>
        <v>20.679119397466433</v>
      </c>
      <c r="GD13" s="59">
        <f t="shared" si="26"/>
        <v>314.01245273079974</v>
      </c>
      <c r="GE13" s="59">
        <f ca="1">AVERAGE(OFFSET($GD$3,0,0,'Données projet'!$E$17+1,1))-AVERAGE(OFFSET($H$3,0,0,'Données projet'!$E$17+1,1))</f>
        <v>117.54638373164624</v>
      </c>
      <c r="GF13" s="59">
        <f t="shared" si="50"/>
        <v>133.0740262536583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>
        <f>VLOOKUP(A13,'Données projet'!$A$269:$I$289,2,0)</f>
        <v>39</v>
      </c>
      <c r="GS13" s="12">
        <f>VLOOKUP(A13,'Données projet'!$A$269:$I$289,9,0)</f>
        <v>6.8</v>
      </c>
      <c r="GT13" s="12">
        <f t="array" ref="GT13">INDEX(GS:GS,MIN(IF(ISNUMBER(GS13:GS209),ROW(GS13:GS209),"")))</f>
        <v>6.8</v>
      </c>
      <c r="GU13" s="12">
        <f>IF('Données projet'!$A$270&gt;35,GU12+GT13-HC12,IF(A13&lt;'Données projet'!$A$270,$GR$205^A13,IF(A13='Données projet'!$A$270,'Données projet'!$B$270,GU12+GT13-HC12)))</f>
        <v>39</v>
      </c>
      <c r="GV13" s="17">
        <f>GU13*VLOOKUP('Données projet'!$B$18,Paramètres!$A$1:$I$89,3,0)*VLOOKUP('Données projet'!$B$18,Paramètres!$A$1:$I$89,5,0)</f>
        <v>18.617039999999999</v>
      </c>
      <c r="GW13" s="13">
        <f t="shared" si="51"/>
        <v>6.1044297353904229</v>
      </c>
      <c r="GX13" s="20">
        <f t="shared" si="28"/>
        <v>43.056559789138312</v>
      </c>
      <c r="GY13" s="59">
        <f t="shared" si="29"/>
        <v>336.38989312247162</v>
      </c>
      <c r="GZ13" s="59">
        <f ca="1">AVERAGE(OFFSET($GY$3,0,0,'Données projet'!$E$18+1,1))-AVERAGE(OFFSET($H$3,0,0,'Données projet'!$E$18+1,1))</f>
        <v>43.147469606759159</v>
      </c>
      <c r="HA13" s="59">
        <f t="shared" si="52"/>
        <v>147.46995307968473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1.2</v>
      </c>
      <c r="N14" s="13">
        <f>IF('Données projet'!$A$36&gt;35,N13+M14-V13,IF(A14&lt;'Données projet'!$A$36,$K$205^A14,IF(A14='Données projet'!$A$36,'Données projet'!$B$36,N13+M14-V13)))</f>
        <v>4.4661504822319662</v>
      </c>
      <c r="O14" s="13">
        <f>N14*VLOOKUP('Données projet'!$B$9,Paramètres!$A$1:$I$89,3,0)*VLOOKUP('Données projet'!$B$9,Paramètres!$A$1:$I$89,5,0)</f>
        <v>4.0409729563234826</v>
      </c>
      <c r="P14" s="13">
        <f t="shared" si="33"/>
        <v>1.5828619706020071</v>
      </c>
      <c r="Q14" s="20">
        <f t="shared" si="2"/>
        <v>9.7948458310618953</v>
      </c>
      <c r="R14" s="59">
        <f t="shared" si="0"/>
        <v>303.12817916439519</v>
      </c>
      <c r="S14" s="59">
        <f ca="1">AVERAGE(OFFSET($R$3,0,0,'Données projet'!$E$9+1,1))-AVERAGE(OFFSET($H$3,0,0,'Données projet'!$E$9+1,1))</f>
        <v>138.8931001150624</v>
      </c>
      <c r="T14" s="59">
        <f t="shared" si="34"/>
        <v>48.964659354096625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5.25</v>
      </c>
      <c r="AI14" s="13">
        <f>IF('Données projet'!$A$62&gt;35,AI13+AH14-AQ13,IF(A14&lt;'Données projet'!$A$62,$AF$205^A14,IF(A14='Données projet'!$A$62,'Données projet'!$B$62,AI13+AH14-AQ13)))</f>
        <v>12.93165514337789</v>
      </c>
      <c r="AJ14" s="13">
        <f>AI14*VLOOKUP('Données projet'!$B$10,Paramètres!$A$1:$I$89,3,0)*VLOOKUP('Données projet'!$B$10,Paramètres!$A$1:$I$89,5,0)</f>
        <v>11.297093933254926</v>
      </c>
      <c r="AK14" s="13">
        <f t="shared" si="35"/>
        <v>3.9260287556070481</v>
      </c>
      <c r="AL14" s="20">
        <f t="shared" si="4"/>
        <v>26.513605349767932</v>
      </c>
      <c r="AM14" s="59">
        <f t="shared" si="5"/>
        <v>319.84693868310126</v>
      </c>
      <c r="AN14" s="59">
        <f ca="1">AVERAGE(OFFSET($AM$3,0,0,'Données projet'!$E$10+1,1))-AVERAGE(OFFSET($H$3,0,0,'Données projet'!$E$10+1,1))</f>
        <v>191.94797389630673</v>
      </c>
      <c r="AO14" s="59">
        <f t="shared" si="36"/>
        <v>273.52540822767878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4.05</v>
      </c>
      <c r="BD14" s="12">
        <f>IF('Données projet'!$A$88&gt;35,BD13+BC14-BL13,IF(A14&lt;'Données projet'!$A$88,$BA$205^A14,IF(A14='Données projet'!$A$88,'Données projet'!$B$88,BD13+BC14-BL13)))</f>
        <v>11.211578456539662</v>
      </c>
      <c r="BE14" s="13">
        <f>BD14*VLOOKUP('Données projet'!$B$11,Paramètres!$A$1:$I$89,3,0)*VLOOKUP('Données projet'!$B$11,Paramètres!$A$1:$I$89,5,0)</f>
        <v>6.9960249568807491</v>
      </c>
      <c r="BF14" s="13">
        <f t="shared" si="37"/>
        <v>2.570767008249216</v>
      </c>
      <c r="BG14" s="20">
        <f t="shared" si="7"/>
        <v>16.662162672601358</v>
      </c>
      <c r="BH14" s="59">
        <f t="shared" si="8"/>
        <v>309.99549600593468</v>
      </c>
      <c r="BI14" s="59">
        <f ca="1">AVERAGE(OFFSET($BH$3,0,0,'Données projet'!$E$11+1,1))-AVERAGE(OFFSET($H$3,0,0,'Données projet'!$E$11+1,1))</f>
        <v>162.91481796710048</v>
      </c>
      <c r="BJ14" s="59">
        <f t="shared" si="38"/>
        <v>182.56192390367823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5.75</v>
      </c>
      <c r="BY14" s="12">
        <f>IF('Données projet'!$A$114&gt;35,BY13+BX14-CG13,IF(A14&lt;'Données projet'!$A$114,$BV$205^A14,IF(A14='Données projet'!$A$114,'Données projet'!$B$114,BY13+BX14-CG13)))</f>
        <v>13.595144006008928</v>
      </c>
      <c r="BZ14" s="13">
        <f>BY14*VLOOKUP('Données projet'!$B$12,Paramètres!$A$1:$I$89,3,0)*VLOOKUP('Données projet'!$B$12,Paramètres!$A$1:$I$89,5,0)</f>
        <v>6.3625273948121777</v>
      </c>
      <c r="CA14" s="13">
        <f t="shared" si="39"/>
        <v>2.3639551741679612</v>
      </c>
      <c r="CB14" s="20">
        <f t="shared" si="10"/>
        <v>15.198623807640407</v>
      </c>
      <c r="CC14" s="59">
        <f t="shared" si="11"/>
        <v>308.5319571409737</v>
      </c>
      <c r="CD14" s="59">
        <f ca="1">AVERAGE(OFFSET($CC$3,0,0,'Données projet'!$E$12+1,1))-AVERAGE(OFFSET($H$3,0,0,'Données projet'!$E$12+1,1))</f>
        <v>123.60520571614535</v>
      </c>
      <c r="CE14" s="59">
        <f t="shared" si="40"/>
        <v>119.00926870519527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4.6680204840288511</v>
      </c>
      <c r="CV14" s="13">
        <f t="shared" si="41"/>
        <v>1.798033444197221</v>
      </c>
      <c r="CW14" s="20">
        <f t="shared" si="13"/>
        <v>11.26171059166041</v>
      </c>
      <c r="CX14" s="59">
        <f t="shared" si="14"/>
        <v>304.59504392499372</v>
      </c>
      <c r="CY14" s="59">
        <f ca="1">AVERAGE(OFFSET($CX$3,0,0,'Données projet'!$E$13+1,1))-AVERAGE(OFFSET($H$3,0,0,'Données projet'!$E$13+1,1))</f>
        <v>177.94336949486529</v>
      </c>
      <c r="CZ14" s="59">
        <f t="shared" si="42"/>
        <v>65.559373432574603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3.1</v>
      </c>
      <c r="DO14" s="12">
        <f>IF('Données projet'!$A$166&gt;35,DO13+DN14-DW13,IF(A14&lt;'Données projet'!$A$166,$DL$205^A14,IF(A14='Données projet'!$A$166,'Données projet'!$B$166,DO13+DN14-DW13)))</f>
        <v>9.6786643536622421</v>
      </c>
      <c r="DP14" s="17">
        <f>DO14*VLOOKUP('Données projet'!$B$14,Paramètres!$A$1:$I$89,3,0)*VLOOKUP('Données projet'!$B$14,Paramètres!$A$1:$I$89,5,0)</f>
        <v>5.787841283490021</v>
      </c>
      <c r="DQ14" s="13">
        <f t="shared" si="43"/>
        <v>2.1742613423061434</v>
      </c>
      <c r="DR14" s="20">
        <f t="shared" si="16"/>
        <v>13.86732873992832</v>
      </c>
      <c r="DS14" s="59">
        <f t="shared" si="17"/>
        <v>307.20066207326164</v>
      </c>
      <c r="DT14" s="59">
        <f ca="1">AVERAGE(OFFSET($DS$3,0,0,'Données projet'!$E$14+1,1))-AVERAGE(OFFSET($H$3,0,0,'Données projet'!$E$14+1,1))</f>
        <v>165.39579887388538</v>
      </c>
      <c r="DU14" s="59">
        <f t="shared" si="44"/>
        <v>155.89639262545802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3.5</v>
      </c>
      <c r="EJ14" s="12">
        <f>IF('Données projet'!$A$192&gt;35,EJ13+EI14-ER13,IF(A14&lt;'Données projet'!$A$192,$EG$205^A14,IF(A14='Données projet'!$A$192,'Données projet'!$B$192,EJ13+EI14-ER13)))</f>
        <v>10.346749196978022</v>
      </c>
      <c r="EK14" s="17">
        <f>EJ14*VLOOKUP('Données projet'!$B$15,Paramètres!$A$1:$I$89,3,0)*VLOOKUP('Données projet'!$B$15,Paramètres!$A$1:$I$89,5,0)</f>
        <v>4.9767863637464291</v>
      </c>
      <c r="EL14" s="13">
        <f t="shared" si="45"/>
        <v>1.9027257684858068</v>
      </c>
      <c r="EM14" s="20">
        <f t="shared" si="19"/>
        <v>11.981816963637812</v>
      </c>
      <c r="EN14" s="59">
        <f t="shared" si="20"/>
        <v>305.31515029697113</v>
      </c>
      <c r="EO14" s="59">
        <f ca="1">AVERAGE(OFFSET($EN$3,0,0,'Données projet'!$E$15+1,1))-AVERAGE(OFFSET($H$3,0,0,'Données projet'!$E$15+1,1))</f>
        <v>252.30925789500111</v>
      </c>
      <c r="EP14" s="59">
        <f t="shared" si="46"/>
        <v>213.96033794804805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3.5</v>
      </c>
      <c r="FE14" s="12">
        <f>IF('Données projet'!$A$218&gt;35,FE13+FD14-FM13,IF(A14&lt;'Données projet'!$A$218,$FB$205^A14,IF(A14='Données projet'!$A$218,'Données projet'!$B$218,FE13+FD14-FM13)))</f>
        <v>10.346749196978022</v>
      </c>
      <c r="FF14" s="17">
        <f>FE14*VLOOKUP('Données projet'!$B$16,Paramètres!$A$1:$I$89,3,0)*VLOOKUP('Données projet'!$B$16,Paramètres!$A$1:$I$89,5,0)</f>
        <v>4.9767863637464291</v>
      </c>
      <c r="FG14" s="13">
        <f t="shared" si="47"/>
        <v>1.9027257684858068</v>
      </c>
      <c r="FH14" s="20">
        <f t="shared" si="22"/>
        <v>11.981816963637812</v>
      </c>
      <c r="FI14" s="59">
        <f t="shared" si="23"/>
        <v>305.31515029697113</v>
      </c>
      <c r="FJ14" s="59">
        <f ca="1">AVERAGE(OFFSET($FI$3,0,0,'Données projet'!$E$16+1,1))-AVERAGE(OFFSET($H$3,0,0,'Données projet'!$E$16+1,1))</f>
        <v>252.30925789500111</v>
      </c>
      <c r="FK14" s="59">
        <f t="shared" si="48"/>
        <v>213.96033794804805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2.0833333333333335</v>
      </c>
      <c r="FZ14" s="12">
        <f>IF('Données projet'!$A$244&gt;35,FZ13+FY14-GH13,IF(A14&lt;'Données projet'!$A$244,$FW$205^A14,IF(A14='Données projet'!$A$244,'Données projet'!$B$244,FZ13+FY14-GH13)))</f>
        <v>19.118112283293257</v>
      </c>
      <c r="GA14" s="17">
        <f>FZ14*VLOOKUP('Données projet'!$B$17,Paramètres!$A$1:$I$89,3,0)*VLOOKUP('Données projet'!$B$17,Paramètres!$A$1:$I$89,5,0)</f>
        <v>11.432631145409369</v>
      </c>
      <c r="GB14" s="13">
        <f t="shared" si="49"/>
        <v>3.9676197193180758</v>
      </c>
      <c r="GC14" s="20">
        <f t="shared" si="25"/>
        <v>26.822103589400299</v>
      </c>
      <c r="GD14" s="59">
        <f t="shared" si="26"/>
        <v>320.1554369227336</v>
      </c>
      <c r="GE14" s="59">
        <f ca="1">AVERAGE(OFFSET($GD$3,0,0,'Données projet'!$E$17+1,1))-AVERAGE(OFFSET($H$3,0,0,'Données projet'!$E$17+1,1))</f>
        <v>117.54638373164624</v>
      </c>
      <c r="GF14" s="59">
        <f t="shared" si="50"/>
        <v>133.0740262536583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12</v>
      </c>
      <c r="GU14" s="12">
        <f>IF('Données projet'!$A$270&gt;35,GU13+GT14-HC13,IF(A14&lt;'Données projet'!$A$270,$GR$205^A14,IF(A14='Données projet'!$A$270,'Données projet'!$B$270,GU13+GT14-HC13)))</f>
        <v>51</v>
      </c>
      <c r="GV14" s="17">
        <f>GU14*VLOOKUP('Données projet'!$B$18,Paramètres!$A$1:$I$89,3,0)*VLOOKUP('Données projet'!$B$18,Paramètres!$A$1:$I$89,5,0)</f>
        <v>24.345359999999999</v>
      </c>
      <c r="GW14" s="13">
        <f t="shared" si="51"/>
        <v>7.7372997120475224</v>
      </c>
      <c r="GX14" s="20">
        <f t="shared" si="28"/>
        <v>55.877298998482765</v>
      </c>
      <c r="GY14" s="59">
        <f t="shared" si="29"/>
        <v>349.2106323318161</v>
      </c>
      <c r="GZ14" s="59">
        <f ca="1">AVERAGE(OFFSET($GY$3,0,0,'Données projet'!$E$18+1,1))-AVERAGE(OFFSET($H$3,0,0,'Données projet'!$E$18+1,1))</f>
        <v>43.147469606759159</v>
      </c>
      <c r="HA14" s="59">
        <f t="shared" si="52"/>
        <v>147.46995307968473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1.2</v>
      </c>
      <c r="N15" s="13">
        <f>IF('Données projet'!$A$36&gt;35,N14+M15-V14,IF(A15&lt;'Données projet'!$A$36,$K$205^A15,IF(A15='Données projet'!$A$36,'Données projet'!$B$36,N14+M15-V14)))</f>
        <v>5.1170328173444979</v>
      </c>
      <c r="O15" s="13">
        <f>N15*VLOOKUP('Données projet'!$B$9,Paramètres!$A$1:$I$89,3,0)*VLOOKUP('Données projet'!$B$9,Paramètres!$A$1:$I$89,5,0)</f>
        <v>4.6298912931333014</v>
      </c>
      <c r="P15" s="13">
        <f t="shared" si="33"/>
        <v>1.7850501365423737</v>
      </c>
      <c r="Q15" s="20">
        <f t="shared" si="2"/>
        <v>11.172689656685135</v>
      </c>
      <c r="R15" s="59">
        <f t="shared" si="0"/>
        <v>304.50602299001844</v>
      </c>
      <c r="S15" s="59">
        <f ca="1">AVERAGE(OFFSET($R$3,0,0,'Données projet'!$E$9+1,1))-AVERAGE(OFFSET($H$3,0,0,'Données projet'!$E$9+1,1))</f>
        <v>138.8931001150624</v>
      </c>
      <c r="T15" s="59">
        <f t="shared" si="34"/>
        <v>48.964659354096625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5.25</v>
      </c>
      <c r="AI15" s="13">
        <f>IF('Données projet'!$A$62&gt;35,AI14+AH15-AQ14,IF(A15&lt;'Données projet'!$A$62,$AF$205^A15,IF(A15='Données projet'!$A$62,'Données projet'!$B$62,AI14+AH15-AQ14)))</f>
        <v>16.319752926185881</v>
      </c>
      <c r="AJ15" s="13">
        <f>AI15*VLOOKUP('Données projet'!$B$10,Paramètres!$A$1:$I$89,3,0)*VLOOKUP('Données projet'!$B$10,Paramètres!$A$1:$I$89,5,0)</f>
        <v>14.256936156315987</v>
      </c>
      <c r="AK15" s="13">
        <f t="shared" si="35"/>
        <v>4.822248863773944</v>
      </c>
      <c r="AL15" s="20">
        <f t="shared" si="4"/>
        <v>33.229580576656623</v>
      </c>
      <c r="AM15" s="59">
        <f t="shared" si="5"/>
        <v>326.56291390998996</v>
      </c>
      <c r="AN15" s="59">
        <f ca="1">AVERAGE(OFFSET($AM$3,0,0,'Données projet'!$E$10+1,1))-AVERAGE(OFFSET($H$3,0,0,'Données projet'!$E$10+1,1))</f>
        <v>191.94797389630673</v>
      </c>
      <c r="AO15" s="59">
        <f t="shared" si="36"/>
        <v>273.52540822767878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4.05</v>
      </c>
      <c r="BD15" s="12">
        <f>IF('Données projet'!$A$88&gt;35,BD14+BC15-BL14,IF(A15&lt;'Données projet'!$A$88,$BA$205^A15,IF(A15='Données projet'!$A$88,'Données projet'!$B$88,BD14+BC15-BL14)))</f>
        <v>13.966610165238242</v>
      </c>
      <c r="BE15" s="13">
        <f>BD15*VLOOKUP('Données projet'!$B$11,Paramètres!$A$1:$I$89,3,0)*VLOOKUP('Données projet'!$B$11,Paramètres!$A$1:$I$89,5,0)</f>
        <v>8.7151647431086623</v>
      </c>
      <c r="BF15" s="13">
        <f t="shared" si="37"/>
        <v>3.1216167753269404</v>
      </c>
      <c r="BG15" s="20">
        <f t="shared" si="7"/>
        <v>20.615727811275338</v>
      </c>
      <c r="BH15" s="59">
        <f t="shared" si="8"/>
        <v>313.94906114460866</v>
      </c>
      <c r="BI15" s="59">
        <f ca="1">AVERAGE(OFFSET($BH$3,0,0,'Données projet'!$E$11+1,1))-AVERAGE(OFFSET($H$3,0,0,'Données projet'!$E$11+1,1))</f>
        <v>162.91481796710048</v>
      </c>
      <c r="BJ15" s="59">
        <f t="shared" si="38"/>
        <v>182.56192390367823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5.75</v>
      </c>
      <c r="BY15" s="12">
        <f>IF('Données projet'!$A$114&gt;35,BY14+BX15-CG14,IF(A15&lt;'Données projet'!$A$114,$BV$205^A15,IF(A15='Données projet'!$A$114,'Données projet'!$B$114,BY14+BX15-CG14)))</f>
        <v>17.23529432545471</v>
      </c>
      <c r="BZ15" s="13">
        <f>BY15*VLOOKUP('Données projet'!$B$12,Paramètres!$A$1:$I$89,3,0)*VLOOKUP('Données projet'!$B$12,Paramètres!$A$1:$I$89,5,0)</f>
        <v>8.0661177443128054</v>
      </c>
      <c r="CA15" s="13">
        <f t="shared" si="39"/>
        <v>2.915283990610841</v>
      </c>
      <c r="CB15" s="20">
        <f t="shared" si="10"/>
        <v>19.125941354992019</v>
      </c>
      <c r="CC15" s="59">
        <f t="shared" si="11"/>
        <v>312.45927468832531</v>
      </c>
      <c r="CD15" s="59">
        <f ca="1">AVERAGE(OFFSET($CC$3,0,0,'Données projet'!$E$12+1,1))-AVERAGE(OFFSET($H$3,0,0,'Données projet'!$E$12+1,1))</f>
        <v>123.60520571614535</v>
      </c>
      <c r="CE15" s="59">
        <f t="shared" si="40"/>
        <v>119.00926870519527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5.3483227006884695</v>
      </c>
      <c r="CV15" s="13">
        <f t="shared" si="41"/>
        <v>2.027706713966543</v>
      </c>
      <c r="CW15" s="20">
        <f t="shared" si="13"/>
        <v>12.846584563857478</v>
      </c>
      <c r="CX15" s="59">
        <f t="shared" si="14"/>
        <v>306.17991789719082</v>
      </c>
      <c r="CY15" s="59">
        <f ca="1">AVERAGE(OFFSET($CX$3,0,0,'Données projet'!$E$13+1,1))-AVERAGE(OFFSET($H$3,0,0,'Données projet'!$E$13+1,1))</f>
        <v>177.94336949486529</v>
      </c>
      <c r="CZ15" s="59">
        <f t="shared" si="42"/>
        <v>65.559373432574603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3.1</v>
      </c>
      <c r="DO15" s="12">
        <f>IF('Données projet'!$A$166&gt;35,DO14+DN15-DW14,IF(A15&lt;'Données projet'!$A$166,$DL$205^A15,IF(A15='Données projet'!$A$166,'Données projet'!$B$166,DO14+DN15-DW14)))</f>
        <v>11.896932943137111</v>
      </c>
      <c r="DP15" s="17">
        <f>DO15*VLOOKUP('Données projet'!$B$14,Paramètres!$A$1:$I$89,3,0)*VLOOKUP('Données projet'!$B$14,Paramètres!$A$1:$I$89,5,0)</f>
        <v>7.1143658999959936</v>
      </c>
      <c r="DQ15" s="13">
        <f t="shared" si="43"/>
        <v>2.6091533748419611</v>
      </c>
      <c r="DR15" s="20">
        <f t="shared" si="16"/>
        <v>16.935129403676104</v>
      </c>
      <c r="DS15" s="59">
        <f t="shared" si="17"/>
        <v>310.26846273700943</v>
      </c>
      <c r="DT15" s="59">
        <f ca="1">AVERAGE(OFFSET($DS$3,0,0,'Données projet'!$E$14+1,1))-AVERAGE(OFFSET($H$3,0,0,'Données projet'!$E$14+1,1))</f>
        <v>165.39579887388538</v>
      </c>
      <c r="DU15" s="59">
        <f t="shared" si="44"/>
        <v>155.89639262545802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3.5</v>
      </c>
      <c r="EJ15" s="12">
        <f>IF('Données projet'!$A$192&gt;35,EJ14+EI15-ER14,IF(A15&lt;'Données projet'!$A$192,$EG$205^A15,IF(A15='Données projet'!$A$192,'Données projet'!$B$192,EJ14+EI15-ER14)))</f>
        <v>12.795546046181904</v>
      </c>
      <c r="EK15" s="17">
        <f>EJ15*VLOOKUP('Données projet'!$B$15,Paramètres!$A$1:$I$89,3,0)*VLOOKUP('Données projet'!$B$15,Paramètres!$A$1:$I$89,5,0)</f>
        <v>6.1546576482134956</v>
      </c>
      <c r="EL15" s="13">
        <f t="shared" si="45"/>
        <v>2.2955810513456334</v>
      </c>
      <c r="EM15" s="20">
        <f t="shared" si="19"/>
        <v>14.717499068398817</v>
      </c>
      <c r="EN15" s="59">
        <f t="shared" si="20"/>
        <v>308.05083240173212</v>
      </c>
      <c r="EO15" s="59">
        <f ca="1">AVERAGE(OFFSET($EN$3,0,0,'Données projet'!$E$15+1,1))-AVERAGE(OFFSET($H$3,0,0,'Données projet'!$E$15+1,1))</f>
        <v>252.30925789500111</v>
      </c>
      <c r="EP15" s="59">
        <f t="shared" si="46"/>
        <v>213.96033794804805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3.5</v>
      </c>
      <c r="FE15" s="12">
        <f>IF('Données projet'!$A$218&gt;35,FE14+FD15-FM14,IF(A15&lt;'Données projet'!$A$218,$FB$205^A15,IF(A15='Données projet'!$A$218,'Données projet'!$B$218,FE14+FD15-FM14)))</f>
        <v>12.795546046181904</v>
      </c>
      <c r="FF15" s="17">
        <f>FE15*VLOOKUP('Données projet'!$B$16,Paramètres!$A$1:$I$89,3,0)*VLOOKUP('Données projet'!$B$16,Paramètres!$A$1:$I$89,5,0)</f>
        <v>6.1546576482134956</v>
      </c>
      <c r="FG15" s="13">
        <f t="shared" si="47"/>
        <v>2.2955810513456334</v>
      </c>
      <c r="FH15" s="20">
        <f t="shared" si="22"/>
        <v>14.717499068398817</v>
      </c>
      <c r="FI15" s="59">
        <f t="shared" si="23"/>
        <v>308.05083240173212</v>
      </c>
      <c r="FJ15" s="59">
        <f ca="1">AVERAGE(OFFSET($FI$3,0,0,'Données projet'!$E$16+1,1))-AVERAGE(OFFSET($H$3,0,0,'Données projet'!$E$16+1,1))</f>
        <v>252.30925789500111</v>
      </c>
      <c r="FK15" s="59">
        <f t="shared" si="48"/>
        <v>213.96033794804805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>
        <f>VLOOKUP(A15,'Données projet'!$A$243:$I$263,2,0)</f>
        <v>25</v>
      </c>
      <c r="FX15" s="12">
        <f>VLOOKUP(A15,'Données projet'!$A$243:$I$263,9,0)</f>
        <v>2.0833333333333335</v>
      </c>
      <c r="FY15" s="12">
        <f t="array" ref="FY15">INDEX(FX:FX,MIN(IF(ISNUMBER(FX15:FX211),ROW(FX15:FX211),"")))</f>
        <v>2.0833333333333335</v>
      </c>
      <c r="FZ15" s="12">
        <f>IF('Données projet'!$A$244&gt;35,FZ14+FY15-GH14,IF(A15&lt;'Données projet'!$A$244,$FW$205^A15,IF(A15='Données projet'!$A$244,'Données projet'!$B$244,FZ14+FY15-GH14)))</f>
        <v>25</v>
      </c>
      <c r="GA15" s="17">
        <f>FZ15*VLOOKUP('Données projet'!$B$17,Paramètres!$A$1:$I$89,3,0)*VLOOKUP('Données projet'!$B$17,Paramètres!$A$1:$I$89,5,0)</f>
        <v>14.950000000000001</v>
      </c>
      <c r="GB15" s="13">
        <f t="shared" si="49"/>
        <v>5.0288076310817473</v>
      </c>
      <c r="GC15" s="20">
        <f t="shared" si="25"/>
        <v>34.796423290800711</v>
      </c>
      <c r="GD15" s="59">
        <f t="shared" si="26"/>
        <v>328.12975662413402</v>
      </c>
      <c r="GE15" s="59">
        <f ca="1">AVERAGE(OFFSET($GD$3,0,0,'Données projet'!$E$17+1,1))-AVERAGE(OFFSET($H$3,0,0,'Données projet'!$E$17+1,1))</f>
        <v>117.54638373164624</v>
      </c>
      <c r="GF15" s="59">
        <f t="shared" si="50"/>
        <v>133.0740262536583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12</v>
      </c>
      <c r="GU15" s="12">
        <f>IF('Données projet'!$A$270&gt;35,GU14+GT15-HC14,IF(A15&lt;'Données projet'!$A$270,$GR$205^A15,IF(A15='Données projet'!$A$270,'Données projet'!$B$270,GU14+GT15-HC14)))</f>
        <v>63</v>
      </c>
      <c r="GV15" s="17">
        <f>GU15*VLOOKUP('Données projet'!$B$18,Paramètres!$A$1:$I$89,3,0)*VLOOKUP('Données projet'!$B$18,Paramètres!$A$1:$I$89,5,0)</f>
        <v>30.07368</v>
      </c>
      <c r="GW15" s="13">
        <f t="shared" si="51"/>
        <v>9.3256201513302699</v>
      </c>
      <c r="GX15" s="20">
        <f t="shared" si="28"/>
        <v>68.620447763566872</v>
      </c>
      <c r="GY15" s="59">
        <f t="shared" si="29"/>
        <v>361.95378109690017</v>
      </c>
      <c r="GZ15" s="59">
        <f ca="1">AVERAGE(OFFSET($GY$3,0,0,'Données projet'!$E$18+1,1))-AVERAGE(OFFSET($H$3,0,0,'Données projet'!$E$18+1,1))</f>
        <v>43.147469606759159</v>
      </c>
      <c r="HA15" s="59">
        <f t="shared" si="52"/>
        <v>147.46995307968473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1.2</v>
      </c>
      <c r="N16" s="13">
        <f>IF('Données projet'!$A$36&gt;35,N15+M16-V15,IF(A16&lt;'Données projet'!$A$36,$K$205^A16,IF(A16='Données projet'!$A$36,'Données projet'!$B$36,N15+M16-V15)))</f>
        <v>5.8627726400958746</v>
      </c>
      <c r="O16" s="13">
        <f>N16*VLOOKUP('Données projet'!$B$9,Paramètres!$A$1:$I$89,3,0)*VLOOKUP('Données projet'!$B$9,Paramètres!$A$1:$I$89,5,0)</f>
        <v>5.3046366847587469</v>
      </c>
      <c r="P16" s="13">
        <f t="shared" si="33"/>
        <v>2.0130649729098407</v>
      </c>
      <c r="Q16" s="20">
        <f t="shared" si="2"/>
        <v>12.74499705377279</v>
      </c>
      <c r="R16" s="59">
        <f t="shared" si="0"/>
        <v>306.07833038710612</v>
      </c>
      <c r="S16" s="59">
        <f ca="1">AVERAGE(OFFSET($R$3,0,0,'Données projet'!$E$9+1,1))-AVERAGE(OFFSET($H$3,0,0,'Données projet'!$E$9+1,1))</f>
        <v>138.8931001150624</v>
      </c>
      <c r="T16" s="59">
        <f t="shared" si="34"/>
        <v>48.964659354096625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5.25</v>
      </c>
      <c r="AI16" s="13">
        <f>IF('Données projet'!$A$62&gt;35,AI15+AH16-AQ15,IF(A16&lt;'Données projet'!$A$62,$AF$205^A16,IF(A16='Données projet'!$A$62,'Données projet'!$B$62,AI15+AH16-AQ15)))</f>
        <v>20.595533411524546</v>
      </c>
      <c r="AJ16" s="13">
        <f>AI16*VLOOKUP('Données projet'!$B$10,Paramètres!$A$1:$I$89,3,0)*VLOOKUP('Données projet'!$B$10,Paramètres!$A$1:$I$89,5,0)</f>
        <v>17.992257988307845</v>
      </c>
      <c r="AK16" s="13">
        <f t="shared" si="35"/>
        <v>5.9230549625899274</v>
      </c>
      <c r="AL16" s="20">
        <f t="shared" si="4"/>
        <v>41.65250338948028</v>
      </c>
      <c r="AM16" s="59">
        <f t="shared" si="5"/>
        <v>334.98583672281359</v>
      </c>
      <c r="AN16" s="59">
        <f ca="1">AVERAGE(OFFSET($AM$3,0,0,'Données projet'!$E$10+1,1))-AVERAGE(OFFSET($H$3,0,0,'Données projet'!$E$10+1,1))</f>
        <v>191.94797389630673</v>
      </c>
      <c r="AO16" s="59">
        <f t="shared" si="36"/>
        <v>273.52540822767878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4.05</v>
      </c>
      <c r="BD16" s="12">
        <f>IF('Données projet'!$A$88&gt;35,BD15+BC16-BL15,IF(A16&lt;'Données projet'!$A$88,$BA$205^A16,IF(A16='Données projet'!$A$88,'Données projet'!$B$88,BD15+BC16-BL15)))</f>
        <v>17.398638404385871</v>
      </c>
      <c r="BE16" s="13">
        <f>BD16*VLOOKUP('Données projet'!$B$11,Paramètres!$A$1:$I$89,3,0)*VLOOKUP('Données projet'!$B$11,Paramètres!$A$1:$I$89,5,0)</f>
        <v>10.856750364336783</v>
      </c>
      <c r="BF16" s="13">
        <f t="shared" si="37"/>
        <v>3.7904995904856111</v>
      </c>
      <c r="BG16" s="20">
        <f t="shared" si="7"/>
        <v>25.510627004649006</v>
      </c>
      <c r="BH16" s="59">
        <f t="shared" si="8"/>
        <v>318.84396033798231</v>
      </c>
      <c r="BI16" s="59">
        <f ca="1">AVERAGE(OFFSET($BH$3,0,0,'Données projet'!$E$11+1,1))-AVERAGE(OFFSET($H$3,0,0,'Données projet'!$E$11+1,1))</f>
        <v>162.91481796710048</v>
      </c>
      <c r="BJ16" s="59">
        <f t="shared" si="38"/>
        <v>182.56192390367823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5.75</v>
      </c>
      <c r="BY16" s="12">
        <f>IF('Données projet'!$A$114&gt;35,BY15+BX16-CG15,IF(A16&lt;'Données projet'!$A$114,$BV$205^A16,IF(A16='Données projet'!$A$114,'Données projet'!$B$114,BY15+BX16-CG15)))</f>
        <v>21.850108417664106</v>
      </c>
      <c r="BZ16" s="13">
        <f>BY16*VLOOKUP('Données projet'!$B$12,Paramètres!$A$1:$I$89,3,0)*VLOOKUP('Données projet'!$B$12,Paramètres!$A$1:$I$89,5,0)</f>
        <v>10.225850739466802</v>
      </c>
      <c r="CA16" s="13">
        <f t="shared" si="39"/>
        <v>3.5951953906669201</v>
      </c>
      <c r="CB16" s="20">
        <f t="shared" si="10"/>
        <v>24.071655343316234</v>
      </c>
      <c r="CC16" s="59">
        <f t="shared" si="11"/>
        <v>317.40498867664957</v>
      </c>
      <c r="CD16" s="59">
        <f ca="1">AVERAGE(OFFSET($CC$3,0,0,'Données projet'!$E$12+1,1))-AVERAGE(OFFSET($H$3,0,0,'Données projet'!$E$12+1,1))</f>
        <v>123.60520571614535</v>
      </c>
      <c r="CE16" s="59">
        <f t="shared" si="40"/>
        <v>119.00926870519527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6.127769963428209</v>
      </c>
      <c r="CV16" s="13">
        <f t="shared" si="41"/>
        <v>2.286717486337261</v>
      </c>
      <c r="CW16" s="20">
        <f t="shared" si="13"/>
        <v>14.655232308341526</v>
      </c>
      <c r="CX16" s="59">
        <f t="shared" si="14"/>
        <v>307.98856564167482</v>
      </c>
      <c r="CY16" s="59">
        <f ca="1">AVERAGE(OFFSET($CX$3,0,0,'Données projet'!$E$13+1,1))-AVERAGE(OFFSET($H$3,0,0,'Données projet'!$E$13+1,1))</f>
        <v>177.94336949486529</v>
      </c>
      <c r="CZ16" s="59">
        <f t="shared" si="42"/>
        <v>65.559373432574603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3.1</v>
      </c>
      <c r="DO16" s="12">
        <f>IF('Données projet'!$A$166&gt;35,DO15+DN16-DW15,IF(A16&lt;'Données projet'!$A$166,$DL$205^A16,IF(A16='Données projet'!$A$166,'Données projet'!$B$166,DO15+DN16-DW15)))</f>
        <v>14.623610064538074</v>
      </c>
      <c r="DP16" s="17">
        <f>DO16*VLOOKUP('Données projet'!$B$14,Paramètres!$A$1:$I$89,3,0)*VLOOKUP('Données projet'!$B$14,Paramètres!$A$1:$I$89,5,0)</f>
        <v>8.744918818593769</v>
      </c>
      <c r="DQ16" s="13">
        <f t="shared" si="43"/>
        <v>3.1310317674270851</v>
      </c>
      <c r="DR16" s="20">
        <f t="shared" si="16"/>
        <v>20.68394727065299</v>
      </c>
      <c r="DS16" s="59">
        <f t="shared" si="17"/>
        <v>314.01728060398631</v>
      </c>
      <c r="DT16" s="59">
        <f ca="1">AVERAGE(OFFSET($DS$3,0,0,'Données projet'!$E$14+1,1))-AVERAGE(OFFSET($H$3,0,0,'Données projet'!$E$14+1,1))</f>
        <v>165.39579887388538</v>
      </c>
      <c r="DU16" s="59">
        <f t="shared" si="44"/>
        <v>155.89639262545802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3.5</v>
      </c>
      <c r="EJ16" s="12">
        <f>IF('Données projet'!$A$192&gt;35,EJ15+EI16-ER15,IF(A16&lt;'Données projet'!$A$192,$EG$205^A16,IF(A16='Données projet'!$A$192,'Données projet'!$B$192,EJ15+EI16-ER15)))</f>
        <v>15.82390715218852</v>
      </c>
      <c r="EK16" s="17">
        <f>EJ16*VLOOKUP('Données projet'!$B$15,Paramètres!$A$1:$I$89,3,0)*VLOOKUP('Données projet'!$B$15,Paramètres!$A$1:$I$89,5,0)</f>
        <v>7.6112993402026783</v>
      </c>
      <c r="EL16" s="13">
        <f t="shared" si="45"/>
        <v>2.7695490598683374</v>
      </c>
      <c r="EM16" s="20">
        <f t="shared" si="19"/>
        <v>18.07997763012369</v>
      </c>
      <c r="EN16" s="59">
        <f t="shared" si="20"/>
        <v>311.41331096345698</v>
      </c>
      <c r="EO16" s="59">
        <f ca="1">AVERAGE(OFFSET($EN$3,0,0,'Données projet'!$E$15+1,1))-AVERAGE(OFFSET($H$3,0,0,'Données projet'!$E$15+1,1))</f>
        <v>252.30925789500111</v>
      </c>
      <c r="EP16" s="59">
        <f t="shared" si="46"/>
        <v>213.96033794804805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3.5</v>
      </c>
      <c r="FE16" s="12">
        <f>IF('Données projet'!$A$218&gt;35,FE15+FD16-FM15,IF(A16&lt;'Données projet'!$A$218,$FB$205^A16,IF(A16='Données projet'!$A$218,'Données projet'!$B$218,FE15+FD16-FM15)))</f>
        <v>15.82390715218852</v>
      </c>
      <c r="FF16" s="17">
        <f>FE16*VLOOKUP('Données projet'!$B$16,Paramètres!$A$1:$I$89,3,0)*VLOOKUP('Données projet'!$B$16,Paramètres!$A$1:$I$89,5,0)</f>
        <v>7.6112993402026783</v>
      </c>
      <c r="FG16" s="13">
        <f t="shared" si="47"/>
        <v>2.7695490598683374</v>
      </c>
      <c r="FH16" s="20">
        <f t="shared" si="22"/>
        <v>18.07997763012369</v>
      </c>
      <c r="FI16" s="59">
        <f t="shared" si="23"/>
        <v>311.41331096345698</v>
      </c>
      <c r="FJ16" s="59">
        <f ca="1">AVERAGE(OFFSET($FI$3,0,0,'Données projet'!$E$16+1,1))-AVERAGE(OFFSET($H$3,0,0,'Données projet'!$E$16+1,1))</f>
        <v>252.30925789500111</v>
      </c>
      <c r="FK16" s="59">
        <f t="shared" si="48"/>
        <v>213.96033794804805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8.5</v>
      </c>
      <c r="FZ16" s="12">
        <f>IF('Données projet'!$A$244&gt;35,FZ15+FY16-GH15,IF(A16&lt;'Données projet'!$A$244,$FW$205^A16,IF(A16='Données projet'!$A$244,'Données projet'!$B$244,FZ15+FY16-GH15)))</f>
        <v>33.5</v>
      </c>
      <c r="GA16" s="17">
        <f>FZ16*VLOOKUP('Données projet'!$B$17,Paramètres!$A$1:$I$89,3,0)*VLOOKUP('Données projet'!$B$17,Paramètres!$A$1:$I$89,5,0)</f>
        <v>20.033000000000001</v>
      </c>
      <c r="GB16" s="13">
        <f t="shared" si="49"/>
        <v>6.5129061865703672</v>
      </c>
      <c r="GC16" s="20">
        <f t="shared" si="25"/>
        <v>46.234119941610061</v>
      </c>
      <c r="GD16" s="59">
        <f t="shared" si="26"/>
        <v>339.56745327494338</v>
      </c>
      <c r="GE16" s="59">
        <f ca="1">AVERAGE(OFFSET($GD$3,0,0,'Données projet'!$E$17+1,1))-AVERAGE(OFFSET($H$3,0,0,'Données projet'!$E$17+1,1))</f>
        <v>117.54638373164624</v>
      </c>
      <c r="GF16" s="59">
        <f t="shared" si="50"/>
        <v>133.0740262536583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12</v>
      </c>
      <c r="GU16" s="12">
        <f>IF('Données projet'!$A$270&gt;35,GU15+GT16-HC15,IF(A16&lt;'Données projet'!$A$270,$GR$205^A16,IF(A16='Données projet'!$A$270,'Données projet'!$B$270,GU15+GT16-HC15)))</f>
        <v>75</v>
      </c>
      <c r="GV16" s="17">
        <f>GU16*VLOOKUP('Données projet'!$B$18,Paramètres!$A$1:$I$89,3,0)*VLOOKUP('Données projet'!$B$18,Paramètres!$A$1:$I$89,5,0)</f>
        <v>35.802</v>
      </c>
      <c r="GW16" s="13">
        <f t="shared" si="51"/>
        <v>10.878888979554027</v>
      </c>
      <c r="GX16" s="20">
        <f t="shared" si="28"/>
        <v>81.302548306056607</v>
      </c>
      <c r="GY16" s="59">
        <f t="shared" si="29"/>
        <v>374.63588163938994</v>
      </c>
      <c r="GZ16" s="59">
        <f ca="1">AVERAGE(OFFSET($GY$3,0,0,'Données projet'!$E$18+1,1))-AVERAGE(OFFSET($H$3,0,0,'Données projet'!$E$18+1,1))</f>
        <v>43.147469606759159</v>
      </c>
      <c r="HA16" s="59">
        <f t="shared" si="52"/>
        <v>147.46995307968473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1.2</v>
      </c>
      <c r="N17" s="13">
        <f>IF('Données projet'!$A$36&gt;35,N16+M17-V16,IF(A17&lt;'Données projet'!$A$36,$K$205^A17,IF(A17='Données projet'!$A$36,'Données projet'!$B$36,N16+M17-V16)))</f>
        <v>6.7171941741218459</v>
      </c>
      <c r="O17" s="13">
        <f>N17*VLOOKUP('Données projet'!$B$9,Paramètres!$A$1:$I$89,3,0)*VLOOKUP('Données projet'!$B$9,Paramètres!$A$1:$I$89,5,0)</f>
        <v>6.077717288745446</v>
      </c>
      <c r="P17" s="13">
        <f t="shared" si="33"/>
        <v>2.2702054705343011</v>
      </c>
      <c r="Q17" s="20">
        <f t="shared" si="2"/>
        <v>14.53929880574556</v>
      </c>
      <c r="R17" s="59">
        <f t="shared" si="0"/>
        <v>307.87263213907886</v>
      </c>
      <c r="S17" s="59">
        <f ca="1">AVERAGE(OFFSET($R$3,0,0,'Données projet'!$E$9+1,1))-AVERAGE(OFFSET($H$3,0,0,'Données projet'!$E$9+1,1))</f>
        <v>138.8931001150624</v>
      </c>
      <c r="T17" s="59">
        <f t="shared" si="34"/>
        <v>48.964659354096625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5.25</v>
      </c>
      <c r="AI17" s="13">
        <f>IF('Données projet'!$A$62&gt;35,AI16+AH17-AQ16,IF(A17&lt;'Données projet'!$A$62,$AF$205^A17,IF(A17='Données projet'!$A$62,'Données projet'!$B$62,AI16+AH17-AQ16)))</f>
        <v>25.991569751317236</v>
      </c>
      <c r="AJ17" s="13">
        <f>AI17*VLOOKUP('Données projet'!$B$10,Paramètres!$A$1:$I$89,3,0)*VLOOKUP('Données projet'!$B$10,Paramètres!$A$1:$I$89,5,0)</f>
        <v>22.70623533475074</v>
      </c>
      <c r="AK17" s="13">
        <f t="shared" si="35"/>
        <v>7.2751492262067101</v>
      </c>
      <c r="AL17" s="20">
        <f t="shared" si="4"/>
        <v>52.217578110334223</v>
      </c>
      <c r="AM17" s="59">
        <f t="shared" si="5"/>
        <v>345.55091144366753</v>
      </c>
      <c r="AN17" s="59">
        <f ca="1">AVERAGE(OFFSET($AM$3,0,0,'Données projet'!$E$10+1,1))-AVERAGE(OFFSET($H$3,0,0,'Données projet'!$E$10+1,1))</f>
        <v>191.94797389630673</v>
      </c>
      <c r="AO17" s="59">
        <f t="shared" si="36"/>
        <v>273.52540822767878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4.05</v>
      </c>
      <c r="BD17" s="12">
        <f>IF('Données projet'!$A$88&gt;35,BD16+BC17-BL16,IF(A17&lt;'Données projet'!$A$88,$BA$205^A17,IF(A17='Données projet'!$A$88,'Données projet'!$B$88,BD16+BC17-BL16)))</f>
        <v>21.674022167526239</v>
      </c>
      <c r="BE17" s="13">
        <f>BD17*VLOOKUP('Données projet'!$B$11,Paramètres!$A$1:$I$89,3,0)*VLOOKUP('Données projet'!$B$11,Paramètres!$A$1:$I$89,5,0)</f>
        <v>13.524589832536373</v>
      </c>
      <c r="BF17" s="13">
        <f t="shared" si="37"/>
        <v>4.6027069238717733</v>
      </c>
      <c r="BG17" s="20">
        <f t="shared" si="7"/>
        <v>31.571708517410855</v>
      </c>
      <c r="BH17" s="59">
        <f t="shared" si="8"/>
        <v>324.90504185074417</v>
      </c>
      <c r="BI17" s="59">
        <f ca="1">AVERAGE(OFFSET($BH$3,0,0,'Données projet'!$E$11+1,1))-AVERAGE(OFFSET($H$3,0,0,'Données projet'!$E$11+1,1))</f>
        <v>162.91481796710048</v>
      </c>
      <c r="BJ17" s="59">
        <f t="shared" si="38"/>
        <v>182.56192390367823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5.75</v>
      </c>
      <c r="BY17" s="12">
        <f>IF('Données projet'!$A$114&gt;35,BY16+BX17-CG16,IF(A17&lt;'Données projet'!$A$114,$BV$205^A17,IF(A17='Données projet'!$A$114,'Données projet'!$B$114,BY16+BX17-CG16)))</f>
        <v>27.700556129091808</v>
      </c>
      <c r="BZ17" s="13">
        <f>BY17*VLOOKUP('Données projet'!$B$12,Paramètres!$A$1:$I$89,3,0)*VLOOKUP('Données projet'!$B$12,Paramètres!$A$1:$I$89,5,0)</f>
        <v>12.963860268414967</v>
      </c>
      <c r="CA17" s="13">
        <f t="shared" si="39"/>
        <v>4.4336777956113931</v>
      </c>
      <c r="CB17" s="20">
        <f t="shared" si="10"/>
        <v>30.300712128179242</v>
      </c>
      <c r="CC17" s="59">
        <f t="shared" si="11"/>
        <v>323.63404546151253</v>
      </c>
      <c r="CD17" s="59">
        <f ca="1">AVERAGE(OFFSET($CC$3,0,0,'Données projet'!$E$12+1,1))-AVERAGE(OFFSET($H$3,0,0,'Données projet'!$E$12+1,1))</f>
        <v>123.60520571614535</v>
      </c>
      <c r="CE17" s="59">
        <f t="shared" si="40"/>
        <v>119.00926870519527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7.0208113507921537</v>
      </c>
      <c r="CV17" s="13">
        <f t="shared" si="41"/>
        <v>2.5788132111530211</v>
      </c>
      <c r="CW17" s="20">
        <f t="shared" si="13"/>
        <v>16.719346112054513</v>
      </c>
      <c r="CX17" s="59">
        <f t="shared" si="14"/>
        <v>310.05267944538781</v>
      </c>
      <c r="CY17" s="59">
        <f ca="1">AVERAGE(OFFSET($CX$3,0,0,'Données projet'!$E$13+1,1))-AVERAGE(OFFSET($H$3,0,0,'Données projet'!$E$13+1,1))</f>
        <v>177.94336949486529</v>
      </c>
      <c r="CZ17" s="59">
        <f t="shared" si="42"/>
        <v>65.559373432574603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3.1</v>
      </c>
      <c r="DO17" s="12">
        <f>IF('Données projet'!$A$166&gt;35,DO16+DN17-DW16,IF(A17&lt;'Données projet'!$A$166,$DL$205^A17,IF(A17='Données projet'!$A$166,'Données projet'!$B$166,DO16+DN17-DW16)))</f>
        <v>17.975218683822305</v>
      </c>
      <c r="DP17" s="17">
        <f>DO17*VLOOKUP('Données projet'!$B$14,Paramètres!$A$1:$I$89,3,0)*VLOOKUP('Données projet'!$B$14,Paramètres!$A$1:$I$89,5,0)</f>
        <v>10.74918077292574</v>
      </c>
      <c r="DQ17" s="13">
        <f t="shared" si="43"/>
        <v>3.7572953829252698</v>
      </c>
      <c r="DR17" s="20">
        <f t="shared" si="16"/>
        <v>25.26544597144051</v>
      </c>
      <c r="DS17" s="59">
        <f t="shared" si="17"/>
        <v>318.59877930477381</v>
      </c>
      <c r="DT17" s="59">
        <f ca="1">AVERAGE(OFFSET($DS$3,0,0,'Données projet'!$E$14+1,1))-AVERAGE(OFFSET($H$3,0,0,'Données projet'!$E$14+1,1))</f>
        <v>165.39579887388538</v>
      </c>
      <c r="DU17" s="59">
        <f t="shared" si="44"/>
        <v>155.89639262545802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3.5</v>
      </c>
      <c r="EJ17" s="12">
        <f>IF('Données projet'!$A$192&gt;35,EJ16+EI17-ER16,IF(A17&lt;'Données projet'!$A$192,$EG$205^A17,IF(A17='Données projet'!$A$192,'Données projet'!$B$192,EJ16+EI17-ER16)))</f>
        <v>19.568999764242129</v>
      </c>
      <c r="EK17" s="17">
        <f>EJ17*VLOOKUP('Données projet'!$B$15,Paramètres!$A$1:$I$89,3,0)*VLOOKUP('Données projet'!$B$15,Paramètres!$A$1:$I$89,5,0)</f>
        <v>9.4126888866004634</v>
      </c>
      <c r="EL17" s="13">
        <f t="shared" si="45"/>
        <v>3.3413771169270281</v>
      </c>
      <c r="EM17" s="20">
        <f t="shared" si="19"/>
        <v>22.213331622810383</v>
      </c>
      <c r="EN17" s="59">
        <f t="shared" si="20"/>
        <v>315.54666495614367</v>
      </c>
      <c r="EO17" s="59">
        <f ca="1">AVERAGE(OFFSET($EN$3,0,0,'Données projet'!$E$15+1,1))-AVERAGE(OFFSET($H$3,0,0,'Données projet'!$E$15+1,1))</f>
        <v>252.30925789500111</v>
      </c>
      <c r="EP17" s="59">
        <f t="shared" si="46"/>
        <v>213.96033794804805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3.5</v>
      </c>
      <c r="FE17" s="12">
        <f>IF('Données projet'!$A$218&gt;35,FE16+FD17-FM16,IF(A17&lt;'Données projet'!$A$218,$FB$205^A17,IF(A17='Données projet'!$A$218,'Données projet'!$B$218,FE16+FD17-FM16)))</f>
        <v>19.568999764242129</v>
      </c>
      <c r="FF17" s="17">
        <f>FE17*VLOOKUP('Données projet'!$B$16,Paramètres!$A$1:$I$89,3,0)*VLOOKUP('Données projet'!$B$16,Paramètres!$A$1:$I$89,5,0)</f>
        <v>9.4126888866004634</v>
      </c>
      <c r="FG17" s="13">
        <f t="shared" si="47"/>
        <v>3.3413771169270281</v>
      </c>
      <c r="FH17" s="20">
        <f t="shared" si="22"/>
        <v>22.213331622810383</v>
      </c>
      <c r="FI17" s="59">
        <f t="shared" si="23"/>
        <v>315.54666495614367</v>
      </c>
      <c r="FJ17" s="59">
        <f ca="1">AVERAGE(OFFSET($FI$3,0,0,'Données projet'!$E$16+1,1))-AVERAGE(OFFSET($H$3,0,0,'Données projet'!$E$16+1,1))</f>
        <v>252.30925789500111</v>
      </c>
      <c r="FK17" s="59">
        <f t="shared" si="48"/>
        <v>213.96033794804805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8.5</v>
      </c>
      <c r="FZ17" s="12">
        <f>IF('Données projet'!$A$244&gt;35,FZ16+FY17-GH16,IF(A17&lt;'Données projet'!$A$244,$FW$205^A17,IF(A17='Données projet'!$A$244,'Données projet'!$B$244,FZ16+FY17-GH16)))</f>
        <v>42</v>
      </c>
      <c r="GA17" s="17">
        <f>FZ17*VLOOKUP('Données projet'!$B$17,Paramètres!$A$1:$I$89,3,0)*VLOOKUP('Données projet'!$B$17,Paramètres!$A$1:$I$89,5,0)</f>
        <v>25.116</v>
      </c>
      <c r="GB17" s="13">
        <f t="shared" si="49"/>
        <v>7.9533172071367026</v>
      </c>
      <c r="GC17" s="20">
        <f t="shared" si="25"/>
        <v>57.595727469096431</v>
      </c>
      <c r="GD17" s="59">
        <f t="shared" si="26"/>
        <v>350.92906080242972</v>
      </c>
      <c r="GE17" s="59">
        <f ca="1">AVERAGE(OFFSET($GD$3,0,0,'Données projet'!$E$17+1,1))-AVERAGE(OFFSET($H$3,0,0,'Données projet'!$E$17+1,1))</f>
        <v>117.54638373164624</v>
      </c>
      <c r="GF17" s="59">
        <f t="shared" si="50"/>
        <v>133.0740262536583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12</v>
      </c>
      <c r="GU17" s="12">
        <f>IF('Données projet'!$A$270&gt;35,GU16+GT17-HC16,IF(A17&lt;'Données projet'!$A$270,$GR$205^A17,IF(A17='Données projet'!$A$270,'Données projet'!$B$270,GU16+GT17-HC16)))</f>
        <v>87</v>
      </c>
      <c r="GV17" s="17">
        <f>GU17*VLOOKUP('Données projet'!$B$18,Paramètres!$A$1:$I$89,3,0)*VLOOKUP('Données projet'!$B$18,Paramètres!$A$1:$I$89,5,0)</f>
        <v>41.530320000000003</v>
      </c>
      <c r="GW17" s="13">
        <f t="shared" si="51"/>
        <v>12.403367854287724</v>
      </c>
      <c r="GX17" s="20">
        <f t="shared" si="28"/>
        <v>93.934506346217788</v>
      </c>
      <c r="GY17" s="59">
        <f t="shared" si="29"/>
        <v>387.26783967955112</v>
      </c>
      <c r="GZ17" s="59">
        <f ca="1">AVERAGE(OFFSET($GY$3,0,0,'Données projet'!$E$18+1,1))-AVERAGE(OFFSET($H$3,0,0,'Données projet'!$E$18+1,1))</f>
        <v>43.147469606759159</v>
      </c>
      <c r="HA17" s="59">
        <f t="shared" si="52"/>
        <v>147.46995307968473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1.2</v>
      </c>
      <c r="N18" s="13">
        <f>IF('Données projet'!$A$36&gt;35,N17+M18-V17,IF(A18&lt;'Données projet'!$A$36,$K$205^A18,IF(A18='Données projet'!$A$36,'Données projet'!$B$36,N17+M18-V17)))</f>
        <v>7.6961363407260848</v>
      </c>
      <c r="O18" s="13">
        <f>N18*VLOOKUP('Données projet'!$B$9,Paramètres!$A$1:$I$89,3,0)*VLOOKUP('Données projet'!$B$9,Paramètres!$A$1:$I$89,5,0)</f>
        <v>6.9634641610889609</v>
      </c>
      <c r="P18" s="13">
        <f t="shared" si="33"/>
        <v>2.5601920195323435</v>
      </c>
      <c r="Q18" s="20">
        <f t="shared" si="2"/>
        <v>16.587034514582104</v>
      </c>
      <c r="R18" s="59">
        <f t="shared" si="0"/>
        <v>309.92036784791543</v>
      </c>
      <c r="S18" s="59">
        <f ca="1">AVERAGE(OFFSET($R$3,0,0,'Données projet'!$E$9+1,1))-AVERAGE(OFFSET($H$3,0,0,'Données projet'!$E$9+1,1))</f>
        <v>138.8931001150624</v>
      </c>
      <c r="T18" s="59">
        <f t="shared" si="34"/>
        <v>48.964659354096625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5.25</v>
      </c>
      <c r="AI18" s="13">
        <f>IF('Données projet'!$A$62&gt;35,AI17+AH18-AQ17,IF(A18&lt;'Données projet'!$A$62,$AF$205^A18,IF(A18='Données projet'!$A$62,'Données projet'!$B$62,AI17+AH18-AQ17)))</f>
        <v>32.801369337662706</v>
      </c>
      <c r="AJ18" s="13">
        <f>AI18*VLOOKUP('Données projet'!$B$10,Paramètres!$A$1:$I$89,3,0)*VLOOKUP('Données projet'!$B$10,Paramètres!$A$1:$I$89,5,0)</f>
        <v>28.655276253382144</v>
      </c>
      <c r="AK18" s="13">
        <f t="shared" si="35"/>
        <v>8.9358948376924587</v>
      </c>
      <c r="AL18" s="20">
        <f t="shared" si="4"/>
        <v>65.471289650288256</v>
      </c>
      <c r="AM18" s="59">
        <f t="shared" si="5"/>
        <v>358.80462298362158</v>
      </c>
      <c r="AN18" s="59">
        <f ca="1">AVERAGE(OFFSET($AM$3,0,0,'Données projet'!$E$10+1,1))-AVERAGE(OFFSET($H$3,0,0,'Données projet'!$E$10+1,1))</f>
        <v>191.94797389630673</v>
      </c>
      <c r="AO18" s="59">
        <f t="shared" si="36"/>
        <v>273.52540822767878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4.05</v>
      </c>
      <c r="BD18" s="12">
        <f>IF('Données projet'!$A$88&gt;35,BD17+BC18-BL17,IF(A18&lt;'Données projet'!$A$88,$BA$205^A18,IF(A18='Données projet'!$A$88,'Données projet'!$B$88,BD17+BC18-BL17)))</f>
        <v>27.000000000000014</v>
      </c>
      <c r="BE18" s="13">
        <f>BD18*VLOOKUP('Données projet'!$B$11,Paramètres!$A$1:$I$89,3,0)*VLOOKUP('Données projet'!$B$11,Paramètres!$A$1:$I$89,5,0)</f>
        <v>16.84800000000001</v>
      </c>
      <c r="BF18" s="13">
        <f t="shared" si="37"/>
        <v>5.5889495622773859</v>
      </c>
      <c r="BG18" s="20">
        <f t="shared" si="7"/>
        <v>39.077687154299795</v>
      </c>
      <c r="BH18" s="59">
        <f t="shared" si="8"/>
        <v>332.4110204876331</v>
      </c>
      <c r="BI18" s="59">
        <f ca="1">AVERAGE(OFFSET($BH$3,0,0,'Données projet'!$E$11+1,1))-AVERAGE(OFFSET($H$3,0,0,'Données projet'!$E$11+1,1))</f>
        <v>162.91481796710048</v>
      </c>
      <c r="BJ18" s="59">
        <f t="shared" si="38"/>
        <v>182.56192390367823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5.75</v>
      </c>
      <c r="BY18" s="12">
        <f>IF('Données projet'!$A$114&gt;35,BY17+BX18-CG17,IF(A18&lt;'Données projet'!$A$114,$BV$205^A18,IF(A18='Données projet'!$A$114,'Données projet'!$B$114,BY17+BX18-CG17)))</f>
        <v>35.117482952196561</v>
      </c>
      <c r="BZ18" s="13">
        <f>BY18*VLOOKUP('Données projet'!$B$12,Paramètres!$A$1:$I$89,3,0)*VLOOKUP('Données projet'!$B$12,Paramètres!$A$1:$I$89,5,0)</f>
        <v>16.434982021627992</v>
      </c>
      <c r="CA18" s="13">
        <f t="shared" si="39"/>
        <v>5.4677136175486121</v>
      </c>
      <c r="CB18" s="20">
        <f t="shared" si="10"/>
        <v>38.147194904899251</v>
      </c>
      <c r="CC18" s="59">
        <f t="shared" si="11"/>
        <v>331.48052823823258</v>
      </c>
      <c r="CD18" s="59">
        <f ca="1">AVERAGE(OFFSET($CC$3,0,0,'Données projet'!$E$12+1,1))-AVERAGE(OFFSET($H$3,0,0,'Données projet'!$E$12+1,1))</f>
        <v>123.60520571614535</v>
      </c>
      <c r="CE18" s="59">
        <f t="shared" si="40"/>
        <v>119.00926870519527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8.044001703326904</v>
      </c>
      <c r="CV18" s="13">
        <f t="shared" si="41"/>
        <v>2.9082200218223746</v>
      </c>
      <c r="CW18" s="20">
        <f t="shared" si="13"/>
        <v>19.075119504634994</v>
      </c>
      <c r="CX18" s="59">
        <f t="shared" si="14"/>
        <v>312.4084528379683</v>
      </c>
      <c r="CY18" s="59">
        <f ca="1">AVERAGE(OFFSET($CX$3,0,0,'Données projet'!$E$13+1,1))-AVERAGE(OFFSET($H$3,0,0,'Données projet'!$E$13+1,1))</f>
        <v>177.94336949486529</v>
      </c>
      <c r="CZ18" s="59">
        <f t="shared" si="42"/>
        <v>65.559373432574603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3.1</v>
      </c>
      <c r="DO18" s="12">
        <f>IF('Données projet'!$A$166&gt;35,DO17+DN18-DW17,IF(A18&lt;'Données projet'!$A$166,$DL$205^A18,IF(A18='Données projet'!$A$166,'Données projet'!$B$166,DO17+DN18-DW17)))</f>
        <v>22.094987852196994</v>
      </c>
      <c r="DP18" s="17">
        <f>DO18*VLOOKUP('Données projet'!$B$14,Paramètres!$A$1:$I$89,3,0)*VLOOKUP('Données projet'!$B$14,Paramètres!$A$1:$I$89,5,0)</f>
        <v>13.212802735613803</v>
      </c>
      <c r="DQ18" s="13">
        <f t="shared" si="43"/>
        <v>4.5088231749728802</v>
      </c>
      <c r="DR18" s="20">
        <f t="shared" si="16"/>
        <v>30.865165127605138</v>
      </c>
      <c r="DS18" s="59">
        <f t="shared" si="17"/>
        <v>324.19849846093848</v>
      </c>
      <c r="DT18" s="59">
        <f ca="1">AVERAGE(OFFSET($DS$3,0,0,'Données projet'!$E$14+1,1))-AVERAGE(OFFSET($H$3,0,0,'Données projet'!$E$14+1,1))</f>
        <v>165.39579887388538</v>
      </c>
      <c r="DU18" s="59">
        <f t="shared" si="44"/>
        <v>155.89639262545802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3.5</v>
      </c>
      <c r="EJ18" s="12">
        <f>IF('Données projet'!$A$192&gt;35,EJ17+EI18-ER17,IF(A18&lt;'Données projet'!$A$192,$EG$205^A18,IF(A18='Données projet'!$A$192,'Données projet'!$B$192,EJ17+EI18-ER17)))</f>
        <v>24.200454924935865</v>
      </c>
      <c r="EK18" s="17">
        <f>EJ18*VLOOKUP('Données projet'!$B$15,Paramètres!$A$1:$I$89,3,0)*VLOOKUP('Données projet'!$B$15,Paramètres!$A$1:$I$89,5,0)</f>
        <v>11.640418818894151</v>
      </c>
      <c r="EL18" s="13">
        <f t="shared" si="45"/>
        <v>4.0312703606898195</v>
      </c>
      <c r="EM18" s="20">
        <f t="shared" si="19"/>
        <v>27.294858654442084</v>
      </c>
      <c r="EN18" s="59">
        <f t="shared" si="20"/>
        <v>320.62819198777538</v>
      </c>
      <c r="EO18" s="59">
        <f ca="1">AVERAGE(OFFSET($EN$3,0,0,'Données projet'!$E$15+1,1))-AVERAGE(OFFSET($H$3,0,0,'Données projet'!$E$15+1,1))</f>
        <v>252.30925789500111</v>
      </c>
      <c r="EP18" s="59">
        <f t="shared" si="46"/>
        <v>213.96033794804805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3.5</v>
      </c>
      <c r="FE18" s="12">
        <f>IF('Données projet'!$A$218&gt;35,FE17+FD18-FM17,IF(A18&lt;'Données projet'!$A$218,$FB$205^A18,IF(A18='Données projet'!$A$218,'Données projet'!$B$218,FE17+FD18-FM17)))</f>
        <v>24.200454924935865</v>
      </c>
      <c r="FF18" s="17">
        <f>FE18*VLOOKUP('Données projet'!$B$16,Paramètres!$A$1:$I$89,3,0)*VLOOKUP('Données projet'!$B$16,Paramètres!$A$1:$I$89,5,0)</f>
        <v>11.640418818894151</v>
      </c>
      <c r="FG18" s="13">
        <f t="shared" si="47"/>
        <v>4.0312703606898195</v>
      </c>
      <c r="FH18" s="20">
        <f t="shared" si="22"/>
        <v>27.294858654442084</v>
      </c>
      <c r="FI18" s="59">
        <f t="shared" si="23"/>
        <v>320.62819198777538</v>
      </c>
      <c r="FJ18" s="59">
        <f ca="1">AVERAGE(OFFSET($FI$3,0,0,'Données projet'!$E$16+1,1))-AVERAGE(OFFSET($H$3,0,0,'Données projet'!$E$16+1,1))</f>
        <v>252.30925789500111</v>
      </c>
      <c r="FK18" s="59">
        <f t="shared" si="48"/>
        <v>213.96033794804805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8.5</v>
      </c>
      <c r="FZ18" s="12">
        <f>IF('Données projet'!$A$244&gt;35,FZ17+FY18-GH17,IF(A18&lt;'Données projet'!$A$244,$FW$205^A18,IF(A18='Données projet'!$A$244,'Données projet'!$B$244,FZ17+FY18-GH17)))</f>
        <v>50.5</v>
      </c>
      <c r="GA18" s="17">
        <f>FZ18*VLOOKUP('Données projet'!$B$17,Paramètres!$A$1:$I$89,3,0)*VLOOKUP('Données projet'!$B$17,Paramètres!$A$1:$I$89,5,0)</f>
        <v>30.199000000000002</v>
      </c>
      <c r="GB18" s="13">
        <f t="shared" si="49"/>
        <v>9.3599492233623032</v>
      </c>
      <c r="GC18" s="20">
        <f t="shared" si="25"/>
        <v>68.898503230689343</v>
      </c>
      <c r="GD18" s="59">
        <f t="shared" si="26"/>
        <v>362.23183656402267</v>
      </c>
      <c r="GE18" s="59">
        <f ca="1">AVERAGE(OFFSET($GD$3,0,0,'Données projet'!$E$17+1,1))-AVERAGE(OFFSET($H$3,0,0,'Données projet'!$E$17+1,1))</f>
        <v>117.54638373164624</v>
      </c>
      <c r="GF18" s="59">
        <f t="shared" si="50"/>
        <v>133.0740262536583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>
        <f>VLOOKUP(A18,'Données projet'!$A$269:$I$289,2,0)</f>
        <v>99</v>
      </c>
      <c r="GS18" s="12">
        <f>VLOOKUP(A18,'Données projet'!$A$269:$I$289,9,0)</f>
        <v>12</v>
      </c>
      <c r="GT18" s="12">
        <f t="array" ref="GT18">INDEX(GS:GS,MIN(IF(ISNUMBER(GS18:GS214),ROW(GS18:GS214),"")))</f>
        <v>12</v>
      </c>
      <c r="GU18" s="12">
        <f>IF('Données projet'!$A$270&gt;35,GU17+GT18-HC17,IF(A18&lt;'Données projet'!$A$270,$GR$205^A18,IF(A18='Données projet'!$A$270,'Données projet'!$B$270,GU17+GT18-HC17)))</f>
        <v>99</v>
      </c>
      <c r="GV18" s="17">
        <f>GU18*VLOOKUP('Données projet'!$B$18,Paramètres!$A$1:$I$89,3,0)*VLOOKUP('Données projet'!$B$18,Paramètres!$A$1:$I$89,5,0)</f>
        <v>47.25864</v>
      </c>
      <c r="GW18" s="13">
        <f t="shared" si="51"/>
        <v>13.903484926114103</v>
      </c>
      <c r="GX18" s="20">
        <f t="shared" si="28"/>
        <v>106.5240342463154</v>
      </c>
      <c r="GY18" s="59">
        <f t="shared" si="29"/>
        <v>399.85736757964872</v>
      </c>
      <c r="GZ18" s="59">
        <f ca="1">AVERAGE(OFFSET($GY$3,0,0,'Données projet'!$E$18+1,1))-AVERAGE(OFFSET($H$3,0,0,'Données projet'!$E$18+1,1))</f>
        <v>43.147469606759159</v>
      </c>
      <c r="HA18" s="59">
        <f t="shared" si="52"/>
        <v>147.46995307968473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1.2</v>
      </c>
      <c r="N19" s="13">
        <f>IF('Données projet'!$A$36&gt;35,N18+M19-V18,IF(A19&lt;'Données projet'!$A$36,$K$205^A19,IF(A19='Données projet'!$A$36,'Données projet'!$B$36,N18+M19-V18)))</f>
        <v>8.8177463744060987</v>
      </c>
      <c r="O19" s="13">
        <f>N19*VLOOKUP('Données projet'!$B$9,Paramètres!$A$1:$I$89,3,0)*VLOOKUP('Données projet'!$B$9,Paramètres!$A$1:$I$89,5,0)</f>
        <v>7.9782969195626388</v>
      </c>
      <c r="P19" s="13">
        <f t="shared" si="33"/>
        <v>2.887220237089136</v>
      </c>
      <c r="Q19" s="20">
        <f t="shared" si="2"/>
        <v>18.924109047835174</v>
      </c>
      <c r="R19" s="59">
        <f t="shared" si="0"/>
        <v>312.25744238116852</v>
      </c>
      <c r="S19" s="59">
        <f ca="1">AVERAGE(OFFSET($R$3,0,0,'Données projet'!$E$9+1,1))-AVERAGE(OFFSET($H$3,0,0,'Données projet'!$E$9+1,1))</f>
        <v>138.8931001150624</v>
      </c>
      <c r="T19" s="59">
        <f t="shared" si="34"/>
        <v>48.964659354096625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5.25</v>
      </c>
      <c r="AI19" s="13">
        <f>IF('Données projet'!$A$62&gt;35,AI18+AH19-AQ18,IF(A19&lt;'Données projet'!$A$62,$AF$205^A19,IF(A19='Données projet'!$A$62,'Données projet'!$B$62,AI18+AH19-AQ18)))</f>
        <v>41.39533859324645</v>
      </c>
      <c r="AJ19" s="13">
        <f>AI19*VLOOKUP('Données projet'!$B$10,Paramètres!$A$1:$I$89,3,0)*VLOOKUP('Données projet'!$B$10,Paramètres!$A$1:$I$89,5,0)</f>
        <v>36.162967795060098</v>
      </c>
      <c r="AK19" s="13">
        <f t="shared" si="35"/>
        <v>10.975749646847175</v>
      </c>
      <c r="AL19" s="20">
        <f t="shared" si="4"/>
        <v>82.099932877988508</v>
      </c>
      <c r="AM19" s="59">
        <f t="shared" si="5"/>
        <v>375.43326621132184</v>
      </c>
      <c r="AN19" s="59">
        <f ca="1">AVERAGE(OFFSET($AM$3,0,0,'Données projet'!$E$10+1,1))-AVERAGE(OFFSET($H$3,0,0,'Données projet'!$E$10+1,1))</f>
        <v>191.94797389630673</v>
      </c>
      <c r="AO19" s="59">
        <f t="shared" si="36"/>
        <v>273.52540822767878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4.05</v>
      </c>
      <c r="BD19" s="12">
        <f>IF('Données projet'!$A$88&gt;35,BD18+BC19-BL18,IF(A19&lt;'Données projet'!$A$88,$BA$205^A19,IF(A19='Données projet'!$A$88,'Données projet'!$B$88,BD18+BC19-BL18)))</f>
        <v>33.634735369618987</v>
      </c>
      <c r="BE19" s="13">
        <f>BD19*VLOOKUP('Données projet'!$B$11,Paramètres!$A$1:$I$89,3,0)*VLOOKUP('Données projet'!$B$11,Paramètres!$A$1:$I$89,5,0)</f>
        <v>20.988074870642247</v>
      </c>
      <c r="BF19" s="13">
        <f t="shared" si="37"/>
        <v>6.7865188304026782</v>
      </c>
      <c r="BG19" s="20">
        <f t="shared" si="7"/>
        <v>48.37408402931991</v>
      </c>
      <c r="BH19" s="59">
        <f t="shared" si="8"/>
        <v>341.70741736265325</v>
      </c>
      <c r="BI19" s="59">
        <f ca="1">AVERAGE(OFFSET($BH$3,0,0,'Données projet'!$E$11+1,1))-AVERAGE(OFFSET($H$3,0,0,'Données projet'!$E$11+1,1))</f>
        <v>162.91481796710048</v>
      </c>
      <c r="BJ19" s="59">
        <f t="shared" si="38"/>
        <v>182.56192390367823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5.75</v>
      </c>
      <c r="BY19" s="12">
        <f>IF('Données projet'!$A$114&gt;35,BY18+BX19-CG18,IF(A19&lt;'Données projet'!$A$114,$BV$205^A19,IF(A19='Données projet'!$A$114,'Données projet'!$B$114,BY18+BX19-CG18)))</f>
        <v>44.52031948927695</v>
      </c>
      <c r="BZ19" s="13">
        <f>BY19*VLOOKUP('Données projet'!$B$12,Paramètres!$A$1:$I$89,3,0)*VLOOKUP('Données projet'!$B$12,Paramètres!$A$1:$I$89,5,0)</f>
        <v>20.835509520981613</v>
      </c>
      <c r="CA19" s="13">
        <f t="shared" si="39"/>
        <v>6.7429104192276883</v>
      </c>
      <c r="CB19" s="20">
        <f t="shared" si="10"/>
        <v>48.03241472919786</v>
      </c>
      <c r="CC19" s="59">
        <f t="shared" si="11"/>
        <v>341.36574806253117</v>
      </c>
      <c r="CD19" s="59">
        <f ca="1">AVERAGE(OFFSET($CC$3,0,0,'Données projet'!$E$12+1,1))-AVERAGE(OFFSET($H$3,0,0,'Données projet'!$E$12+1,1))</f>
        <v>123.60520571614535</v>
      </c>
      <c r="CE19" s="59">
        <f t="shared" si="40"/>
        <v>119.00926870519527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9.2163085105292541</v>
      </c>
      <c r="CV19" s="13">
        <f t="shared" si="41"/>
        <v>3.2797038803547029</v>
      </c>
      <c r="CW19" s="20">
        <f t="shared" si="13"/>
        <v>21.763888247456226</v>
      </c>
      <c r="CX19" s="59">
        <f t="shared" si="14"/>
        <v>315.09722158078955</v>
      </c>
      <c r="CY19" s="59">
        <f ca="1">AVERAGE(OFFSET($CX$3,0,0,'Données projet'!$E$13+1,1))-AVERAGE(OFFSET($H$3,0,0,'Données projet'!$E$13+1,1))</f>
        <v>177.94336949486529</v>
      </c>
      <c r="CZ19" s="59">
        <f t="shared" si="42"/>
        <v>65.559373432574603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3.1</v>
      </c>
      <c r="DO19" s="12">
        <f>IF('Données projet'!$A$166&gt;35,DO18+DN19-DW18,IF(A19&lt;'Données projet'!$A$166,$DL$205^A19,IF(A19='Données projet'!$A$166,'Données projet'!$B$166,DO18+DN19-DW18)))</f>
        <v>27.158973516583817</v>
      </c>
      <c r="DP19" s="17">
        <f>DO19*VLOOKUP('Données projet'!$B$14,Paramètres!$A$1:$I$89,3,0)*VLOOKUP('Données projet'!$B$14,Paramètres!$A$1:$I$89,5,0)</f>
        <v>16.241066162917125</v>
      </c>
      <c r="DQ19" s="13">
        <f t="shared" si="43"/>
        <v>5.4106702697792288</v>
      </c>
      <c r="DR19" s="20">
        <f t="shared" si="16"/>
        <v>37.71010762027948</v>
      </c>
      <c r="DS19" s="59">
        <f t="shared" si="17"/>
        <v>331.04344095361279</v>
      </c>
      <c r="DT19" s="59">
        <f ca="1">AVERAGE(OFFSET($DS$3,0,0,'Données projet'!$E$14+1,1))-AVERAGE(OFFSET($H$3,0,0,'Données projet'!$E$14+1,1))</f>
        <v>165.39579887388538</v>
      </c>
      <c r="DU19" s="59">
        <f t="shared" si="44"/>
        <v>155.89639262545802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3.5</v>
      </c>
      <c r="EJ19" s="12">
        <f>IF('Données projet'!$A$192&gt;35,EJ18+EI19-ER18,IF(A19&lt;'Données projet'!$A$192,$EG$205^A19,IF(A19='Données projet'!$A$192,'Données projet'!$B$192,EJ18+EI19-ER18)))</f>
        <v>29.928050775697589</v>
      </c>
      <c r="EK19" s="17">
        <f>EJ19*VLOOKUP('Données projet'!$B$15,Paramètres!$A$1:$I$89,3,0)*VLOOKUP('Données projet'!$B$15,Paramètres!$A$1:$I$89,5,0)</f>
        <v>14.395392423110541</v>
      </c>
      <c r="EL19" s="13">
        <f t="shared" si="45"/>
        <v>4.8636056788232134</v>
      </c>
      <c r="EM19" s="20">
        <f t="shared" si="19"/>
        <v>33.542755027534618</v>
      </c>
      <c r="EN19" s="59">
        <f t="shared" si="20"/>
        <v>326.87608836086793</v>
      </c>
      <c r="EO19" s="59">
        <f ca="1">AVERAGE(OFFSET($EN$3,0,0,'Données projet'!$E$15+1,1))-AVERAGE(OFFSET($H$3,0,0,'Données projet'!$E$15+1,1))</f>
        <v>252.30925789500111</v>
      </c>
      <c r="EP19" s="59">
        <f t="shared" si="46"/>
        <v>213.96033794804805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3.5</v>
      </c>
      <c r="FE19" s="12">
        <f>IF('Données projet'!$A$218&gt;35,FE18+FD19-FM18,IF(A19&lt;'Données projet'!$A$218,$FB$205^A19,IF(A19='Données projet'!$A$218,'Données projet'!$B$218,FE18+FD19-FM18)))</f>
        <v>29.928050775697589</v>
      </c>
      <c r="FF19" s="17">
        <f>FE19*VLOOKUP('Données projet'!$B$16,Paramètres!$A$1:$I$89,3,0)*VLOOKUP('Données projet'!$B$16,Paramètres!$A$1:$I$89,5,0)</f>
        <v>14.395392423110541</v>
      </c>
      <c r="FG19" s="13">
        <f t="shared" si="47"/>
        <v>4.8636056788232134</v>
      </c>
      <c r="FH19" s="20">
        <f t="shared" si="22"/>
        <v>33.542755027534618</v>
      </c>
      <c r="FI19" s="59">
        <f t="shared" si="23"/>
        <v>326.87608836086793</v>
      </c>
      <c r="FJ19" s="59">
        <f ca="1">AVERAGE(OFFSET($FI$3,0,0,'Données projet'!$E$16+1,1))-AVERAGE(OFFSET($H$3,0,0,'Données projet'!$E$16+1,1))</f>
        <v>252.30925789500111</v>
      </c>
      <c r="FK19" s="59">
        <f t="shared" si="48"/>
        <v>213.96033794804805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>
        <f>VLOOKUP(A19,'Données projet'!$A$243:$I$263,2,0)</f>
        <v>59</v>
      </c>
      <c r="FX19" s="12">
        <f>VLOOKUP(A19,'Données projet'!$A$243:$I$263,9,0)</f>
        <v>8.5</v>
      </c>
      <c r="FY19" s="12">
        <f t="array" ref="FY19">INDEX(FX:FX,MIN(IF(ISNUMBER(FX19:FX215),ROW(FX19:FX215),"")))</f>
        <v>8.5</v>
      </c>
      <c r="FZ19" s="12">
        <f>IF('Données projet'!$A$244&gt;35,FZ18+FY19-GH18,IF(A19&lt;'Données projet'!$A$244,$FW$205^A19,IF(A19='Données projet'!$A$244,'Données projet'!$B$244,FZ18+FY19-GH18)))</f>
        <v>59</v>
      </c>
      <c r="GA19" s="17">
        <f>FZ19*VLOOKUP('Données projet'!$B$17,Paramètres!$A$1:$I$89,3,0)*VLOOKUP('Données projet'!$B$17,Paramètres!$A$1:$I$89,5,0)</f>
        <v>35.282000000000004</v>
      </c>
      <c r="GB19" s="13">
        <f t="shared" si="49"/>
        <v>10.73915395799758</v>
      </c>
      <c r="GC19" s="20">
        <f t="shared" si="25"/>
        <v>80.153509810179131</v>
      </c>
      <c r="GD19" s="59">
        <f t="shared" si="26"/>
        <v>373.48684314351243</v>
      </c>
      <c r="GE19" s="59">
        <f ca="1">AVERAGE(OFFSET($GD$3,0,0,'Données projet'!$E$17+1,1))-AVERAGE(OFFSET($H$3,0,0,'Données projet'!$E$17+1,1))</f>
        <v>117.54638373164624</v>
      </c>
      <c r="GF19" s="59">
        <f t="shared" si="50"/>
        <v>133.0740262536583</v>
      </c>
      <c r="GG19" s="15">
        <f>IF(ISNA(VLOOKUP(A19,'Données projet'!$A$243:$I$263,3,0)),0,VLOOKUP(A19,'Données projet'!$A$243:$I$263,3,0))</f>
        <v>1</v>
      </c>
      <c r="GH19" s="15">
        <f>IF(ISNA(VLOOKUP(A19,'Données projet'!$A$243:$I$263,4,0)),0,VLOOKUP(A19,'Données projet'!$A$243:$I$263,4,0))</f>
        <v>8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0.22500000000000001</v>
      </c>
      <c r="GK19" s="16">
        <f>IF(ISNA(VLOOKUP(A19,'Données projet'!$A$243:$I$263,7,0)),0%,VLOOKUP(A19,'Données projet'!$A$243:$I$263,7,0))</f>
        <v>0.5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1.4222917384186289</v>
      </c>
      <c r="GN19" s="21">
        <f>EXP(-LN(2)/2)*GN18+(1-EXP(-LN(2)/2))/(LN(2)/2)*GH19*GK19*VLOOKUP('Données projet'!$B$17,Paramètres!$A$1:$I$89,3,0)*0.475*44/12</f>
        <v>2.7082996556833066</v>
      </c>
      <c r="GO19" s="21">
        <f t="shared" si="27"/>
        <v>4.1305913941019359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15.8</v>
      </c>
      <c r="GU19" s="12">
        <f>IF('Données projet'!$A$270&gt;35,GU18+GT19-HC18,IF(A19&lt;'Données projet'!$A$270,$GR$205^A19,IF(A19='Données projet'!$A$270,'Données projet'!$B$270,GU18+GT19-HC18)))</f>
        <v>114.8</v>
      </c>
      <c r="GV19" s="17">
        <f>GU19*VLOOKUP('Données projet'!$B$18,Paramètres!$A$1:$I$89,3,0)*VLOOKUP('Données projet'!$B$18,Paramètres!$A$1:$I$89,5,0)</f>
        <v>54.800927999999999</v>
      </c>
      <c r="GW19" s="13">
        <f t="shared" si="51"/>
        <v>15.846927269467384</v>
      </c>
      <c r="GX19" s="20">
        <f t="shared" si="28"/>
        <v>123.04501459432237</v>
      </c>
      <c r="GY19" s="59">
        <f t="shared" si="29"/>
        <v>416.37834792765568</v>
      </c>
      <c r="GZ19" s="59">
        <f ca="1">AVERAGE(OFFSET($GY$3,0,0,'Données projet'!$E$18+1,1))-AVERAGE(OFFSET($H$3,0,0,'Données projet'!$E$18+1,1))</f>
        <v>43.147469606759159</v>
      </c>
      <c r="HA19" s="59">
        <f t="shared" si="52"/>
        <v>147.46995307968473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1.2</v>
      </c>
      <c r="N20" s="13">
        <f>IF('Données projet'!$A$36&gt;35,N19+M20-V19,IF(A20&lt;'Données projet'!$A$36,$K$205^A20,IF(A20='Données projet'!$A$36,'Données projet'!$B$36,N19+M20-V19)))</f>
        <v>10.102816228956828</v>
      </c>
      <c r="O20" s="13">
        <f>N20*VLOOKUP('Données projet'!$B$9,Paramètres!$A$1:$I$89,3,0)*VLOOKUP('Données projet'!$B$9,Paramètres!$A$1:$I$89,5,0)</f>
        <v>9.1410281239601368</v>
      </c>
      <c r="P20" s="13">
        <f t="shared" si="33"/>
        <v>3.2560216709759704</v>
      </c>
      <c r="Q20" s="20">
        <f t="shared" si="2"/>
        <v>21.591528392847053</v>
      </c>
      <c r="R20" s="59">
        <f t="shared" si="0"/>
        <v>314.92486172618038</v>
      </c>
      <c r="S20" s="59">
        <f ca="1">AVERAGE(OFFSET($R$3,0,0,'Données projet'!$E$9+1,1))-AVERAGE(OFFSET($H$3,0,0,'Données projet'!$E$9+1,1))</f>
        <v>138.8931001150624</v>
      </c>
      <c r="T20" s="59">
        <f t="shared" si="34"/>
        <v>48.964659354096625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5.25</v>
      </c>
      <c r="AI20" s="13">
        <f>IF('Données projet'!$A$62&gt;35,AI19+AH20-AQ19,IF(A20&lt;'Données projet'!$A$62,$AF$205^A20,IF(A20='Données projet'!$A$62,'Données projet'!$B$62,AI19+AH20-AQ19)))</f>
        <v>52.240930541944905</v>
      </c>
      <c r="AJ20" s="13">
        <f>AI20*VLOOKUP('Données projet'!$B$10,Paramètres!$A$1:$I$89,3,0)*VLOOKUP('Données projet'!$B$10,Paramètres!$A$1:$I$89,5,0)</f>
        <v>45.637676921443074</v>
      </c>
      <c r="AK20" s="13">
        <f t="shared" si="35"/>
        <v>13.481255374909317</v>
      </c>
      <c r="AL20" s="20">
        <f t="shared" si="4"/>
        <v>102.96547374948041</v>
      </c>
      <c r="AM20" s="59">
        <f t="shared" si="5"/>
        <v>396.29880708281371</v>
      </c>
      <c r="AN20" s="59">
        <f ca="1">AVERAGE(OFFSET($AM$3,0,0,'Données projet'!$E$10+1,1))-AVERAGE(OFFSET($H$3,0,0,'Données projet'!$E$10+1,1))</f>
        <v>191.94797389630673</v>
      </c>
      <c r="AO20" s="59">
        <f t="shared" si="36"/>
        <v>273.52540822767878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4.05</v>
      </c>
      <c r="BD20" s="12">
        <f>IF('Données projet'!$A$88&gt;35,BD19+BC20-BL19,IF(A20&lt;'Données projet'!$A$88,$BA$205^A20,IF(A20='Données projet'!$A$88,'Données projet'!$B$88,BD19+BC20-BL19)))</f>
        <v>41.899830495714738</v>
      </c>
      <c r="BE20" s="13">
        <f>BD20*VLOOKUP('Données projet'!$B$11,Paramètres!$A$1:$I$89,3,0)*VLOOKUP('Données projet'!$B$11,Paramètres!$A$1:$I$89,5,0)</f>
        <v>26.145494229325998</v>
      </c>
      <c r="BF20" s="13">
        <f t="shared" si="37"/>
        <v>8.2406966322027202</v>
      </c>
      <c r="BG20" s="20">
        <f t="shared" si="7"/>
        <v>59.889282417162519</v>
      </c>
      <c r="BH20" s="59">
        <f t="shared" si="8"/>
        <v>353.22261575049583</v>
      </c>
      <c r="BI20" s="59">
        <f ca="1">AVERAGE(OFFSET($BH$3,0,0,'Données projet'!$E$11+1,1))-AVERAGE(OFFSET($H$3,0,0,'Données projet'!$E$11+1,1))</f>
        <v>162.91481796710048</v>
      </c>
      <c r="BJ20" s="59">
        <f t="shared" si="38"/>
        <v>182.56192390367823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5.75</v>
      </c>
      <c r="BY20" s="12">
        <f>IF('Données projet'!$A$114&gt;35,BY19+BX20-CG19,IF(A20&lt;'Données projet'!$A$114,$BV$205^A20,IF(A20='Données projet'!$A$114,'Données projet'!$B$114,BY19+BX20-CG19)))</f>
        <v>56.440800444763006</v>
      </c>
      <c r="BZ20" s="13">
        <f>BY20*VLOOKUP('Données projet'!$B$12,Paramètres!$A$1:$I$89,3,0)*VLOOKUP('Données projet'!$B$12,Paramètres!$A$1:$I$89,5,0)</f>
        <v>26.414294608149088</v>
      </c>
      <c r="CA20" s="13">
        <f t="shared" si="39"/>
        <v>8.3155124979120405</v>
      </c>
      <c r="CB20" s="20">
        <f t="shared" si="10"/>
        <v>60.487747376389791</v>
      </c>
      <c r="CC20" s="59">
        <f t="shared" si="11"/>
        <v>353.82108070972311</v>
      </c>
      <c r="CD20" s="59">
        <f ca="1">AVERAGE(OFFSET($CC$3,0,0,'Données projet'!$E$12+1,1))-AVERAGE(OFFSET($H$3,0,0,'Données projet'!$E$12+1,1))</f>
        <v>123.60520571614535</v>
      </c>
      <c r="CE20" s="59">
        <f t="shared" si="40"/>
        <v>119.00926870519527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10.559463522505677</v>
      </c>
      <c r="CV20" s="13">
        <f t="shared" si="41"/>
        <v>3.6986395328072152</v>
      </c>
      <c r="CW20" s="20">
        <f t="shared" si="13"/>
        <v>24.832862821336619</v>
      </c>
      <c r="CX20" s="59">
        <f t="shared" si="14"/>
        <v>318.16619615466993</v>
      </c>
      <c r="CY20" s="59">
        <f ca="1">AVERAGE(OFFSET($CX$3,0,0,'Données projet'!$E$13+1,1))-AVERAGE(OFFSET($H$3,0,0,'Données projet'!$E$13+1,1))</f>
        <v>177.94336949486529</v>
      </c>
      <c r="CZ20" s="59">
        <f t="shared" si="42"/>
        <v>65.559373432574603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3.1</v>
      </c>
      <c r="DO20" s="12">
        <f>IF('Données projet'!$A$166&gt;35,DO19+DN20-DW19,IF(A20&lt;'Données projet'!$A$166,$DL$205^A20,IF(A20='Données projet'!$A$166,'Données projet'!$B$166,DO19+DN20-DW19)))</f>
        <v>33.383582168439972</v>
      </c>
      <c r="DP20" s="17">
        <f>DO20*VLOOKUP('Données projet'!$B$14,Paramètres!$A$1:$I$89,3,0)*VLOOKUP('Données projet'!$B$14,Paramètres!$A$1:$I$89,5,0)</f>
        <v>19.963382136727105</v>
      </c>
      <c r="DQ20" s="13">
        <f t="shared" si="43"/>
        <v>6.492903277017275</v>
      </c>
      <c r="DR20" s="20">
        <f t="shared" si="16"/>
        <v>46.078030428938128</v>
      </c>
      <c r="DS20" s="59">
        <f t="shared" si="17"/>
        <v>339.41136376227144</v>
      </c>
      <c r="DT20" s="59">
        <f ca="1">AVERAGE(OFFSET($DS$3,0,0,'Données projet'!$E$14+1,1))-AVERAGE(OFFSET($H$3,0,0,'Données projet'!$E$14+1,1))</f>
        <v>165.39579887388538</v>
      </c>
      <c r="DU20" s="59">
        <f t="shared" si="44"/>
        <v>155.89639262545802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3.5</v>
      </c>
      <c r="EJ20" s="12">
        <f>IF('Données projet'!$A$192&gt;35,EJ19+EI20-ER19,IF(A20&lt;'Données projet'!$A$192,$EG$205^A20,IF(A20='Données projet'!$A$192,'Données projet'!$B$192,EJ19+EI20-ER19)))</f>
        <v>37.01121429373736</v>
      </c>
      <c r="EK20" s="17">
        <f>EJ20*VLOOKUP('Données projet'!$B$15,Paramètres!$A$1:$I$89,3,0)*VLOOKUP('Données projet'!$B$15,Paramètres!$A$1:$I$89,5,0)</f>
        <v>17.802394075287669</v>
      </c>
      <c r="EL20" s="13">
        <f t="shared" si="45"/>
        <v>5.867793048500392</v>
      </c>
      <c r="EM20" s="20">
        <f t="shared" si="19"/>
        <v>41.225575907264208</v>
      </c>
      <c r="EN20" s="59">
        <f t="shared" si="20"/>
        <v>334.55890924059753</v>
      </c>
      <c r="EO20" s="59">
        <f ca="1">AVERAGE(OFFSET($EN$3,0,0,'Données projet'!$E$15+1,1))-AVERAGE(OFFSET($H$3,0,0,'Données projet'!$E$15+1,1))</f>
        <v>252.30925789500111</v>
      </c>
      <c r="EP20" s="59">
        <f t="shared" si="46"/>
        <v>213.96033794804805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3.5</v>
      </c>
      <c r="FE20" s="12">
        <f>IF('Données projet'!$A$218&gt;35,FE19+FD20-FM19,IF(A20&lt;'Données projet'!$A$218,$FB$205^A20,IF(A20='Données projet'!$A$218,'Données projet'!$B$218,FE19+FD20-FM19)))</f>
        <v>37.01121429373736</v>
      </c>
      <c r="FF20" s="17">
        <f>FE20*VLOOKUP('Données projet'!$B$16,Paramètres!$A$1:$I$89,3,0)*VLOOKUP('Données projet'!$B$16,Paramètres!$A$1:$I$89,5,0)</f>
        <v>17.802394075287669</v>
      </c>
      <c r="FG20" s="13">
        <f t="shared" si="47"/>
        <v>5.867793048500392</v>
      </c>
      <c r="FH20" s="20">
        <f t="shared" si="22"/>
        <v>41.225575907264208</v>
      </c>
      <c r="FI20" s="59">
        <f t="shared" si="23"/>
        <v>334.55890924059753</v>
      </c>
      <c r="FJ20" s="59">
        <f ca="1">AVERAGE(OFFSET($FI$3,0,0,'Données projet'!$E$16+1,1))-AVERAGE(OFFSET($H$3,0,0,'Données projet'!$E$16+1,1))</f>
        <v>252.30925789500111</v>
      </c>
      <c r="FK20" s="59">
        <f t="shared" si="48"/>
        <v>213.96033794804805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10</v>
      </c>
      <c r="FZ20" s="12">
        <f>IF('Données projet'!$A$244&gt;35,FZ19+FY20-GH19,IF(A20&lt;'Données projet'!$A$244,$FW$205^A20,IF(A20='Données projet'!$A$244,'Données projet'!$B$244,FZ19+FY20-GH19)))</f>
        <v>61</v>
      </c>
      <c r="GA20" s="17">
        <f>FZ20*VLOOKUP('Données projet'!$B$17,Paramètres!$A$1:$I$89,3,0)*VLOOKUP('Données projet'!$B$17,Paramètres!$A$1:$I$89,5,0)</f>
        <v>36.478000000000002</v>
      </c>
      <c r="GB20" s="13">
        <f t="shared" si="49"/>
        <v>11.06019217991456</v>
      </c>
      <c r="GC20" s="20">
        <f t="shared" si="25"/>
        <v>82.795684713351179</v>
      </c>
      <c r="GD20" s="59">
        <f t="shared" si="26"/>
        <v>376.12901804668451</v>
      </c>
      <c r="GE20" s="59">
        <f ca="1">AVERAGE(OFFSET($GD$3,0,0,'Données projet'!$E$17+1,1))-AVERAGE(OFFSET($H$3,0,0,'Données projet'!$E$17+1,1))</f>
        <v>117.54638373164624</v>
      </c>
      <c r="GF20" s="59">
        <f t="shared" si="50"/>
        <v>133.0740262536583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1.3833990960364997</v>
      </c>
      <c r="GN20" s="21">
        <f>EXP(-LN(2)/2)*GN19+(1-EXP(-LN(2)/2))/(LN(2)/2)*GH20*GK20*VLOOKUP('Données projet'!$B$17,Paramètres!$A$1:$I$89,3,0)*0.475*44/12</f>
        <v>1.9150570520188579</v>
      </c>
      <c r="GO20" s="21">
        <f t="shared" si="27"/>
        <v>3.2984561480553576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15.8</v>
      </c>
      <c r="GU20" s="12">
        <f>IF('Données projet'!$A$270&gt;35,GU19+GT20-HC19,IF(A20&lt;'Données projet'!$A$270,$GR$205^A20,IF(A20='Données projet'!$A$270,'Données projet'!$B$270,GU19+GT20-HC19)))</f>
        <v>130.6</v>
      </c>
      <c r="GV20" s="17">
        <f>GU20*VLOOKUP('Données projet'!$B$18,Paramètres!$A$1:$I$89,3,0)*VLOOKUP('Données projet'!$B$18,Paramètres!$A$1:$I$89,5,0)</f>
        <v>62.343215999999998</v>
      </c>
      <c r="GW20" s="13">
        <f t="shared" si="51"/>
        <v>17.759380145631443</v>
      </c>
      <c r="GX20" s="20">
        <f t="shared" si="28"/>
        <v>139.51202162030808</v>
      </c>
      <c r="GY20" s="59">
        <f t="shared" si="29"/>
        <v>432.84535495364139</v>
      </c>
      <c r="GZ20" s="59">
        <f ca="1">AVERAGE(OFFSET($GY$3,0,0,'Données projet'!$E$18+1,1))-AVERAGE(OFFSET($H$3,0,0,'Données projet'!$E$18+1,1))</f>
        <v>43.147469606759159</v>
      </c>
      <c r="HA20" s="59">
        <f t="shared" si="52"/>
        <v>147.46995307968473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1.2</v>
      </c>
      <c r="N21" s="13">
        <f>IF('Données projet'!$A$36&gt;35,N20+M21-V20,IF(A21&lt;'Données projet'!$A$36,$K$205^A21,IF(A21='Données projet'!$A$36,'Données projet'!$B$36,N20+M21-V20)))</f>
        <v>11.575168010312384</v>
      </c>
      <c r="O21" s="13">
        <f>N21*VLOOKUP('Données projet'!$B$9,Paramètres!$A$1:$I$89,3,0)*VLOOKUP('Données projet'!$B$9,Paramètres!$A$1:$I$89,5,0)</f>
        <v>10.473212015730644</v>
      </c>
      <c r="P21" s="13">
        <f t="shared" si="33"/>
        <v>3.6719322570811741</v>
      </c>
      <c r="Q21" s="20">
        <f t="shared" si="2"/>
        <v>24.636126275147248</v>
      </c>
      <c r="R21" s="59">
        <f t="shared" si="0"/>
        <v>317.96945960848058</v>
      </c>
      <c r="S21" s="59">
        <f ca="1">AVERAGE(OFFSET($R$3,0,0,'Données projet'!$E$9+1,1))-AVERAGE(OFFSET($H$3,0,0,'Données projet'!$E$9+1,1))</f>
        <v>138.8931001150624</v>
      </c>
      <c r="T21" s="59">
        <f t="shared" si="34"/>
        <v>48.964659354096625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5.25</v>
      </c>
      <c r="AI21" s="13">
        <f>IF('Données projet'!$A$62&gt;35,AI20+AH21-AQ20,IF(A21&lt;'Données projet'!$A$62,$AF$205^A21,IF(A21='Données projet'!$A$62,'Données projet'!$B$62,AI20+AH21-AQ20)))</f>
        <v>65.928071049370772</v>
      </c>
      <c r="AJ21" s="13">
        <f>AI21*VLOOKUP('Données projet'!$B$10,Paramètres!$A$1:$I$89,3,0)*VLOOKUP('Données projet'!$B$10,Paramètres!$A$1:$I$89,5,0)</f>
        <v>57.594762868730314</v>
      </c>
      <c r="AK21" s="13">
        <f t="shared" si="35"/>
        <v>16.558709184454482</v>
      </c>
      <c r="AL21" s="20">
        <f t="shared" si="4"/>
        <v>129.1506304926302</v>
      </c>
      <c r="AM21" s="59">
        <f t="shared" si="5"/>
        <v>422.48396382596354</v>
      </c>
      <c r="AN21" s="59">
        <f ca="1">AVERAGE(OFFSET($AM$3,0,0,'Données projet'!$E$10+1,1))-AVERAGE(OFFSET($H$3,0,0,'Données projet'!$E$10+1,1))</f>
        <v>191.94797389630673</v>
      </c>
      <c r="AO21" s="59">
        <f t="shared" si="36"/>
        <v>273.52540822767878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4.05</v>
      </c>
      <c r="BD21" s="12">
        <f>IF('Données projet'!$A$88&gt;35,BD20+BC21-BL20,IF(A21&lt;'Données projet'!$A$88,$BA$205^A21,IF(A21='Données projet'!$A$88,'Données projet'!$B$88,BD20+BC21-BL20)))</f>
        <v>52.195915213157626</v>
      </c>
      <c r="BE21" s="13">
        <f>BD21*VLOOKUP('Données projet'!$B$11,Paramètres!$A$1:$I$89,3,0)*VLOOKUP('Données projet'!$B$11,Paramètres!$A$1:$I$89,5,0)</f>
        <v>32.570251093010356</v>
      </c>
      <c r="BF21" s="13">
        <f t="shared" si="37"/>
        <v>10.006467628112048</v>
      </c>
      <c r="BG21" s="20">
        <f t="shared" si="7"/>
        <v>74.154451772621528</v>
      </c>
      <c r="BH21" s="59">
        <f t="shared" si="8"/>
        <v>367.48778510595486</v>
      </c>
      <c r="BI21" s="59">
        <f ca="1">AVERAGE(OFFSET($BH$3,0,0,'Données projet'!$E$11+1,1))-AVERAGE(OFFSET($H$3,0,0,'Données projet'!$E$11+1,1))</f>
        <v>162.91481796710048</v>
      </c>
      <c r="BJ21" s="59">
        <f t="shared" si="38"/>
        <v>182.56192390367823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5.75</v>
      </c>
      <c r="BY21" s="12">
        <f>IF('Données projet'!$A$114&gt;35,BY20+BX21-CG20,IF(A21&lt;'Données projet'!$A$114,$BV$205^A21,IF(A21='Données projet'!$A$114,'Données projet'!$B$114,BY20+BX21-CG20)))</f>
        <v>71.55303446582019</v>
      </c>
      <c r="BZ21" s="13">
        <f>BY21*VLOOKUP('Données projet'!$B$12,Paramètres!$A$1:$I$89,3,0)*VLOOKUP('Données projet'!$B$12,Paramètres!$A$1:$I$89,5,0)</f>
        <v>33.486820130003849</v>
      </c>
      <c r="CA21" s="13">
        <f t="shared" si="39"/>
        <v>10.254881616957807</v>
      </c>
      <c r="CB21" s="20">
        <f t="shared" si="10"/>
        <v>76.183463875958196</v>
      </c>
      <c r="CC21" s="59">
        <f t="shared" si="11"/>
        <v>369.5167972092915</v>
      </c>
      <c r="CD21" s="59">
        <f ca="1">AVERAGE(OFFSET($CC$3,0,0,'Données projet'!$E$12+1,1))-AVERAGE(OFFSET($H$3,0,0,'Données projet'!$E$12+1,1))</f>
        <v>123.60520571614535</v>
      </c>
      <c r="CE21" s="59">
        <f t="shared" si="40"/>
        <v>119.00926870519527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12.098365604378504</v>
      </c>
      <c r="CV21" s="13">
        <f t="shared" si="41"/>
        <v>4.1710882728122609</v>
      </c>
      <c r="CW21" s="20">
        <f t="shared" si="13"/>
        <v>28.335965502773913</v>
      </c>
      <c r="CX21" s="59">
        <f t="shared" si="14"/>
        <v>321.6692988361072</v>
      </c>
      <c r="CY21" s="59">
        <f ca="1">AVERAGE(OFFSET($CX$3,0,0,'Données projet'!$E$13+1,1))-AVERAGE(OFFSET($H$3,0,0,'Données projet'!$E$13+1,1))</f>
        <v>177.94336949486529</v>
      </c>
      <c r="CZ21" s="59">
        <f t="shared" si="42"/>
        <v>65.559373432574603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3.1</v>
      </c>
      <c r="DO21" s="12">
        <f>IF('Données projet'!$A$166&gt;35,DO20+DN21-DW20,IF(A21&lt;'Données projet'!$A$166,$DL$205^A21,IF(A21='Données projet'!$A$166,'Données projet'!$B$166,DO20+DN21-DW20)))</f>
        <v>41.034818849706127</v>
      </c>
      <c r="DP21" s="17">
        <f>DO21*VLOOKUP('Données projet'!$B$14,Paramètres!$A$1:$I$89,3,0)*VLOOKUP('Données projet'!$B$14,Paramètres!$A$1:$I$89,5,0)</f>
        <v>24.538821672124264</v>
      </c>
      <c r="DQ21" s="13">
        <f t="shared" si="43"/>
        <v>7.7916026781690766</v>
      </c>
      <c r="DR21" s="20">
        <f t="shared" si="16"/>
        <v>56.30882241009423</v>
      </c>
      <c r="DS21" s="59">
        <f t="shared" si="17"/>
        <v>349.64215574342757</v>
      </c>
      <c r="DT21" s="59">
        <f ca="1">AVERAGE(OFFSET($DS$3,0,0,'Données projet'!$E$14+1,1))-AVERAGE(OFFSET($H$3,0,0,'Données projet'!$E$14+1,1))</f>
        <v>165.39579887388538</v>
      </c>
      <c r="DU21" s="59">
        <f t="shared" si="44"/>
        <v>155.89639262545802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3.5</v>
      </c>
      <c r="EJ21" s="12">
        <f>IF('Données projet'!$A$192&gt;35,EJ20+EI21-ER20,IF(A21&lt;'Données projet'!$A$192,$EG$205^A21,IF(A21='Données projet'!$A$192,'Données projet'!$B$192,EJ20+EI21-ER20)))</f>
        <v>45.770771834204744</v>
      </c>
      <c r="EK21" s="17">
        <f>EJ21*VLOOKUP('Données projet'!$B$15,Paramètres!$A$1:$I$89,3,0)*VLOOKUP('Données projet'!$B$15,Paramètres!$A$1:$I$89,5,0)</f>
        <v>22.015741252252482</v>
      </c>
      <c r="EL21" s="13">
        <f t="shared" si="45"/>
        <v>7.0793147170517283</v>
      </c>
      <c r="EM21" s="20">
        <f t="shared" si="19"/>
        <v>50.673889146538166</v>
      </c>
      <c r="EN21" s="59">
        <f t="shared" si="20"/>
        <v>344.00722247987147</v>
      </c>
      <c r="EO21" s="59">
        <f ca="1">AVERAGE(OFFSET($EN$3,0,0,'Données projet'!$E$15+1,1))-AVERAGE(OFFSET($H$3,0,0,'Données projet'!$E$15+1,1))</f>
        <v>252.30925789500111</v>
      </c>
      <c r="EP21" s="59">
        <f t="shared" si="46"/>
        <v>213.96033794804805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3.5</v>
      </c>
      <c r="FE21" s="12">
        <f>IF('Données projet'!$A$218&gt;35,FE20+FD21-FM20,IF(A21&lt;'Données projet'!$A$218,$FB$205^A21,IF(A21='Données projet'!$A$218,'Données projet'!$B$218,FE20+FD21-FM20)))</f>
        <v>45.770771834204744</v>
      </c>
      <c r="FF21" s="17">
        <f>FE21*VLOOKUP('Données projet'!$B$16,Paramètres!$A$1:$I$89,3,0)*VLOOKUP('Données projet'!$B$16,Paramètres!$A$1:$I$89,5,0)</f>
        <v>22.015741252252482</v>
      </c>
      <c r="FG21" s="13">
        <f t="shared" si="47"/>
        <v>7.0793147170517283</v>
      </c>
      <c r="FH21" s="20">
        <f t="shared" si="22"/>
        <v>50.673889146538166</v>
      </c>
      <c r="FI21" s="59">
        <f t="shared" si="23"/>
        <v>344.00722247987147</v>
      </c>
      <c r="FJ21" s="59">
        <f ca="1">AVERAGE(OFFSET($FI$3,0,0,'Données projet'!$E$16+1,1))-AVERAGE(OFFSET($H$3,0,0,'Données projet'!$E$16+1,1))</f>
        <v>252.30925789500111</v>
      </c>
      <c r="FK21" s="59">
        <f t="shared" si="48"/>
        <v>213.96033794804805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10</v>
      </c>
      <c r="FZ21" s="12">
        <f>IF('Données projet'!$A$244&gt;35,FZ20+FY21-GH20,IF(A21&lt;'Données projet'!$A$244,$FW$205^A21,IF(A21='Données projet'!$A$244,'Données projet'!$B$244,FZ20+FY21-GH20)))</f>
        <v>71</v>
      </c>
      <c r="GA21" s="17">
        <f>FZ21*VLOOKUP('Données projet'!$B$17,Paramètres!$A$1:$I$89,3,0)*VLOOKUP('Données projet'!$B$17,Paramètres!$A$1:$I$89,5,0)</f>
        <v>42.458000000000006</v>
      </c>
      <c r="GB21" s="13">
        <f t="shared" si="49"/>
        <v>12.647861696503936</v>
      </c>
      <c r="GC21" s="20">
        <f t="shared" si="25"/>
        <v>95.976042454744359</v>
      </c>
      <c r="GD21" s="59">
        <f t="shared" si="26"/>
        <v>389.30937578807766</v>
      </c>
      <c r="GE21" s="59">
        <f ca="1">AVERAGE(OFFSET($GD$3,0,0,'Données projet'!$E$17+1,1))-AVERAGE(OFFSET($H$3,0,0,'Données projet'!$E$17+1,1))</f>
        <v>117.54638373164624</v>
      </c>
      <c r="GF21" s="59">
        <f t="shared" si="50"/>
        <v>133.0740262536583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1.345569975005585</v>
      </c>
      <c r="GN21" s="21">
        <f>EXP(-LN(2)/2)*GN20+(1-EXP(-LN(2)/2))/(LN(2)/2)*GH21*GK21*VLOOKUP('Données projet'!$B$17,Paramètres!$A$1:$I$89,3,0)*0.475*44/12</f>
        <v>1.3541498278416535</v>
      </c>
      <c r="GO21" s="21">
        <f t="shared" si="27"/>
        <v>2.6997198028472384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15.8</v>
      </c>
      <c r="GU21" s="12">
        <f>IF('Données projet'!$A$270&gt;35,GU20+GT21-HC20,IF(A21&lt;'Données projet'!$A$270,$GR$205^A21,IF(A21='Données projet'!$A$270,'Données projet'!$B$270,GU20+GT21-HC20)))</f>
        <v>146.4</v>
      </c>
      <c r="GV21" s="17">
        <f>GU21*VLOOKUP('Données projet'!$B$18,Paramètres!$A$1:$I$89,3,0)*VLOOKUP('Données projet'!$B$18,Paramètres!$A$1:$I$89,5,0)</f>
        <v>69.885503999999997</v>
      </c>
      <c r="GW21" s="13">
        <f t="shared" si="51"/>
        <v>19.645021470860105</v>
      </c>
      <c r="GX21" s="20">
        <f t="shared" si="28"/>
        <v>155.932331861748</v>
      </c>
      <c r="GY21" s="59">
        <f t="shared" si="29"/>
        <v>449.26566519508128</v>
      </c>
      <c r="GZ21" s="59">
        <f ca="1">AVERAGE(OFFSET($GY$3,0,0,'Données projet'!$E$18+1,1))-AVERAGE(OFFSET($H$3,0,0,'Données projet'!$E$18+1,1))</f>
        <v>43.147469606759159</v>
      </c>
      <c r="HA21" s="59">
        <f t="shared" si="52"/>
        <v>147.46995307968473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1.2</v>
      </c>
      <c r="N22" s="13">
        <f>IF('Données projet'!$A$36&gt;35,N21+M22-V21,IF(A22&lt;'Données projet'!$A$36,$K$205^A22,IF(A22='Données projet'!$A$36,'Données projet'!$B$36,N21+M22-V21)))</f>
        <v>13.262095581124292</v>
      </c>
      <c r="O22" s="13">
        <f>N22*VLOOKUP('Données projet'!$B$9,Paramètres!$A$1:$I$89,3,0)*VLOOKUP('Données projet'!$B$9,Paramètres!$A$1:$I$89,5,0)</f>
        <v>11.999544081801259</v>
      </c>
      <c r="P22" s="13">
        <f t="shared" si="33"/>
        <v>4.1409695214196116</v>
      </c>
      <c r="Q22" s="20">
        <f t="shared" si="2"/>
        <v>28.111394525609683</v>
      </c>
      <c r="R22" s="59">
        <f t="shared" si="0"/>
        <v>321.444727858943</v>
      </c>
      <c r="S22" s="59">
        <f ca="1">AVERAGE(OFFSET($R$3,0,0,'Données projet'!$E$9+1,1))-AVERAGE(OFFSET($H$3,0,0,'Données projet'!$E$9+1,1))</f>
        <v>138.8931001150624</v>
      </c>
      <c r="T22" s="59">
        <f t="shared" si="34"/>
        <v>48.964659354096625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5.25</v>
      </c>
      <c r="AI22" s="13">
        <f>IF('Données projet'!$A$62&gt;35,AI21+AH22-AQ21,IF(A22&lt;'Données projet'!$A$62,$AF$205^A22,IF(A22='Données projet'!$A$62,'Données projet'!$B$62,AI21+AH22-AQ21)))</f>
        <v>83.201246746571883</v>
      </c>
      <c r="AJ22" s="13">
        <f>AI22*VLOOKUP('Données projet'!$B$10,Paramètres!$A$1:$I$89,3,0)*VLOOKUP('Données projet'!$B$10,Paramètres!$A$1:$I$89,5,0)</f>
        <v>72.684609157805212</v>
      </c>
      <c r="AK22" s="13">
        <f t="shared" si="35"/>
        <v>20.338673382424638</v>
      </c>
      <c r="AL22" s="20">
        <f t="shared" si="4"/>
        <v>162.01555042423362</v>
      </c>
      <c r="AM22" s="59">
        <f t="shared" si="5"/>
        <v>455.34888375756691</v>
      </c>
      <c r="AN22" s="59">
        <f ca="1">AVERAGE(OFFSET($AM$3,0,0,'Données projet'!$E$10+1,1))-AVERAGE(OFFSET($H$3,0,0,'Données projet'!$E$10+1,1))</f>
        <v>191.94797389630673</v>
      </c>
      <c r="AO22" s="59">
        <f t="shared" si="36"/>
        <v>273.52540822767878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4.05</v>
      </c>
      <c r="BD22" s="12">
        <f>IF('Données projet'!$A$88&gt;35,BD21+BC22-BL21,IF(A22&lt;'Données projet'!$A$88,$BA$205^A22,IF(A22='Données projet'!$A$88,'Données projet'!$B$88,BD21+BC22-BL21)))</f>
        <v>65.022066502578738</v>
      </c>
      <c r="BE22" s="13">
        <f>BD22*VLOOKUP('Données projet'!$B$11,Paramètres!$A$1:$I$89,3,0)*VLOOKUP('Données projet'!$B$11,Paramètres!$A$1:$I$89,5,0)</f>
        <v>40.573769497609135</v>
      </c>
      <c r="BF22" s="13">
        <f t="shared" si="37"/>
        <v>12.150598288155894</v>
      </c>
      <c r="BG22" s="20">
        <f t="shared" si="7"/>
        <v>91.828273893540754</v>
      </c>
      <c r="BH22" s="59">
        <f t="shared" si="8"/>
        <v>385.16160722687408</v>
      </c>
      <c r="BI22" s="59">
        <f ca="1">AVERAGE(OFFSET($BH$3,0,0,'Données projet'!$E$11+1,1))-AVERAGE(OFFSET($H$3,0,0,'Données projet'!$E$11+1,1))</f>
        <v>162.91481796710048</v>
      </c>
      <c r="BJ22" s="59">
        <f t="shared" si="38"/>
        <v>182.56192390367823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5.75</v>
      </c>
      <c r="BY22" s="12">
        <f>IF('Données projet'!$A$114&gt;35,BY21+BX22-CG21,IF(A22&lt;'Données projet'!$A$114,$BV$205^A22,IF(A22='Données projet'!$A$114,'Données projet'!$B$114,BY21+BX22-CG21)))</f>
        <v>90.711625294497551</v>
      </c>
      <c r="BZ22" s="13">
        <f>BY22*VLOOKUP('Données projet'!$B$12,Paramètres!$A$1:$I$89,3,0)*VLOOKUP('Données projet'!$B$12,Paramètres!$A$1:$I$89,5,0)</f>
        <v>42.453040637824856</v>
      </c>
      <c r="CA22" s="13">
        <f t="shared" si="39"/>
        <v>12.646556301156998</v>
      </c>
      <c r="CB22" s="20">
        <f t="shared" si="10"/>
        <v>95.96513133539338</v>
      </c>
      <c r="CC22" s="59">
        <f t="shared" si="11"/>
        <v>389.29846466872669</v>
      </c>
      <c r="CD22" s="59">
        <f ca="1">AVERAGE(OFFSET($CC$3,0,0,'Données projet'!$E$12+1,1))-AVERAGE(OFFSET($H$3,0,0,'Données projet'!$E$12+1,1))</f>
        <v>123.60520571614535</v>
      </c>
      <c r="CE22" s="59">
        <f t="shared" si="40"/>
        <v>119.00926870519527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13.861542301391113</v>
      </c>
      <c r="CV22" s="13">
        <f t="shared" si="41"/>
        <v>4.7038856382922933</v>
      </c>
      <c r="CW22" s="20">
        <f t="shared" si="13"/>
        <v>32.334786994948594</v>
      </c>
      <c r="CX22" s="59">
        <f t="shared" si="14"/>
        <v>325.66812032828193</v>
      </c>
      <c r="CY22" s="59">
        <f ca="1">AVERAGE(OFFSET($CX$3,0,0,'Données projet'!$E$13+1,1))-AVERAGE(OFFSET($H$3,0,0,'Données projet'!$E$13+1,1))</f>
        <v>177.94336949486529</v>
      </c>
      <c r="CZ22" s="59">
        <f t="shared" si="42"/>
        <v>65.559373432574603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3.1</v>
      </c>
      <c r="DO22" s="12">
        <f>IF('Données projet'!$A$166&gt;35,DO21+DN22-DW21,IF(A22&lt;'Données projet'!$A$166,$DL$205^A22,IF(A22='Données projet'!$A$166,'Données projet'!$B$166,DO21+DN22-DW21)))</f>
        <v>50.43965472405398</v>
      </c>
      <c r="DP22" s="17">
        <f>DO22*VLOOKUP('Données projet'!$B$14,Paramètres!$A$1:$I$89,3,0)*VLOOKUP('Données projet'!$B$14,Paramètres!$A$1:$I$89,5,0)</f>
        <v>30.16291352498428</v>
      </c>
      <c r="DQ22" s="13">
        <f t="shared" si="43"/>
        <v>9.3500657108726006</v>
      </c>
      <c r="DR22" s="20">
        <f t="shared" si="16"/>
        <v>68.818438835784079</v>
      </c>
      <c r="DS22" s="59">
        <f t="shared" si="17"/>
        <v>362.15177216911741</v>
      </c>
      <c r="DT22" s="59">
        <f ca="1">AVERAGE(OFFSET($DS$3,0,0,'Données projet'!$E$14+1,1))-AVERAGE(OFFSET($H$3,0,0,'Données projet'!$E$14+1,1))</f>
        <v>165.39579887388538</v>
      </c>
      <c r="DU22" s="59">
        <f t="shared" si="44"/>
        <v>155.89639262545802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3.5</v>
      </c>
      <c r="EJ22" s="12">
        <f>IF('Données projet'!$A$192&gt;35,EJ21+EI22-ER21,IF(A22&lt;'Données projet'!$A$192,$EG$205^A22,IF(A22='Données projet'!$A$192,'Données projet'!$B$192,EJ21+EI22-ER21)))</f>
        <v>56.603480709178399</v>
      </c>
      <c r="EK22" s="17">
        <f>EJ22*VLOOKUP('Données projet'!$B$15,Paramètres!$A$1:$I$89,3,0)*VLOOKUP('Données projet'!$B$15,Paramètres!$A$1:$I$89,5,0)</f>
        <v>27.226274221114814</v>
      </c>
      <c r="EL22" s="13">
        <f t="shared" si="45"/>
        <v>8.5409789419675128</v>
      </c>
      <c r="EM22" s="20">
        <f t="shared" si="19"/>
        <v>62.29463259236838</v>
      </c>
      <c r="EN22" s="59">
        <f t="shared" si="20"/>
        <v>355.62796592570169</v>
      </c>
      <c r="EO22" s="59">
        <f ca="1">AVERAGE(OFFSET($EN$3,0,0,'Données projet'!$E$15+1,1))-AVERAGE(OFFSET($H$3,0,0,'Données projet'!$E$15+1,1))</f>
        <v>252.30925789500111</v>
      </c>
      <c r="EP22" s="59">
        <f t="shared" si="46"/>
        <v>213.96033794804805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3.5</v>
      </c>
      <c r="FE22" s="12">
        <f>IF('Données projet'!$A$218&gt;35,FE21+FD22-FM21,IF(A22&lt;'Données projet'!$A$218,$FB$205^A22,IF(A22='Données projet'!$A$218,'Données projet'!$B$218,FE21+FD22-FM21)))</f>
        <v>56.603480709178399</v>
      </c>
      <c r="FF22" s="17">
        <f>FE22*VLOOKUP('Données projet'!$B$16,Paramètres!$A$1:$I$89,3,0)*VLOOKUP('Données projet'!$B$16,Paramètres!$A$1:$I$89,5,0)</f>
        <v>27.226274221114814</v>
      </c>
      <c r="FG22" s="13">
        <f t="shared" si="47"/>
        <v>8.5409789419675128</v>
      </c>
      <c r="FH22" s="20">
        <f t="shared" si="22"/>
        <v>62.29463259236838</v>
      </c>
      <c r="FI22" s="59">
        <f t="shared" si="23"/>
        <v>355.62796592570169</v>
      </c>
      <c r="FJ22" s="59">
        <f ca="1">AVERAGE(OFFSET($FI$3,0,0,'Données projet'!$E$16+1,1))-AVERAGE(OFFSET($H$3,0,0,'Données projet'!$E$16+1,1))</f>
        <v>252.30925789500111</v>
      </c>
      <c r="FK22" s="59">
        <f t="shared" si="48"/>
        <v>213.96033794804805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10</v>
      </c>
      <c r="FZ22" s="12">
        <f>IF('Données projet'!$A$244&gt;35,FZ21+FY22-GH21,IF(A22&lt;'Données projet'!$A$244,$FW$205^A22,IF(A22='Données projet'!$A$244,'Données projet'!$B$244,FZ21+FY22-GH21)))</f>
        <v>81</v>
      </c>
      <c r="GA22" s="17">
        <f>FZ22*VLOOKUP('Données projet'!$B$17,Paramètres!$A$1:$I$89,3,0)*VLOOKUP('Données projet'!$B$17,Paramètres!$A$1:$I$89,5,0)</f>
        <v>48.438000000000009</v>
      </c>
      <c r="GB22" s="13">
        <f t="shared" si="49"/>
        <v>14.209624244846971</v>
      </c>
      <c r="GC22" s="20">
        <f t="shared" si="25"/>
        <v>109.11127889310849</v>
      </c>
      <c r="GD22" s="59">
        <f t="shared" si="26"/>
        <v>402.44461222644179</v>
      </c>
      <c r="GE22" s="59">
        <f ca="1">AVERAGE(OFFSET($GD$3,0,0,'Données projet'!$E$17+1,1))-AVERAGE(OFFSET($H$3,0,0,'Données projet'!$E$17+1,1))</f>
        <v>117.54638373164624</v>
      </c>
      <c r="GF22" s="59">
        <f t="shared" si="50"/>
        <v>133.0740262536583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1.3087752932786076</v>
      </c>
      <c r="GN22" s="21">
        <f>EXP(-LN(2)/2)*GN21+(1-EXP(-LN(2)/2))/(LN(2)/2)*GH22*GK22*VLOOKUP('Données projet'!$B$17,Paramètres!$A$1:$I$89,3,0)*0.475*44/12</f>
        <v>0.95752852600942917</v>
      </c>
      <c r="GO22" s="21">
        <f t="shared" si="27"/>
        <v>2.2663038192880367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15.8</v>
      </c>
      <c r="GU22" s="12">
        <f>IF('Données projet'!$A$270&gt;35,GU21+GT22-HC21,IF(A22&lt;'Données projet'!$A$270,$GR$205^A22,IF(A22='Données projet'!$A$270,'Données projet'!$B$270,GU21+GT22-HC21)))</f>
        <v>162.20000000000002</v>
      </c>
      <c r="GV22" s="17">
        <f>GU22*VLOOKUP('Données projet'!$B$18,Paramètres!$A$1:$I$89,3,0)*VLOOKUP('Données projet'!$B$18,Paramètres!$A$1:$I$89,5,0)</f>
        <v>77.427792000000011</v>
      </c>
      <c r="GW22" s="13">
        <f t="shared" si="51"/>
        <v>21.507074691658449</v>
      </c>
      <c r="GX22" s="20">
        <f t="shared" si="28"/>
        <v>172.31155948797178</v>
      </c>
      <c r="GY22" s="59">
        <f t="shared" si="29"/>
        <v>465.64489282130512</v>
      </c>
      <c r="GZ22" s="59">
        <f ca="1">AVERAGE(OFFSET($GY$3,0,0,'Données projet'!$E$18+1,1))-AVERAGE(OFFSET($H$3,0,0,'Données projet'!$E$18+1,1))</f>
        <v>43.147469606759159</v>
      </c>
      <c r="HA22" s="59">
        <f t="shared" si="52"/>
        <v>147.46995307968473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1.2</v>
      </c>
      <c r="N23" s="13">
        <f>IF('Données projet'!$A$36&gt;35,N22+M23-V22,IF(A23&lt;'Données projet'!$A$36,$K$205^A23,IF(A23='Données projet'!$A$36,'Données projet'!$B$36,N22+M23-V22)))</f>
        <v>15.194870523363559</v>
      </c>
      <c r="O23" s="13">
        <f>N23*VLOOKUP('Données projet'!$B$9,Paramètres!$A$1:$I$89,3,0)*VLOOKUP('Données projet'!$B$9,Paramètres!$A$1:$I$89,5,0)</f>
        <v>13.748318849539347</v>
      </c>
      <c r="P23" s="13">
        <f t="shared" si="33"/>
        <v>4.6699196436038939</v>
      </c>
      <c r="Q23" s="20">
        <f t="shared" si="2"/>
        <v>32.078432042224485</v>
      </c>
      <c r="R23" s="59">
        <f t="shared" si="0"/>
        <v>325.41176537555782</v>
      </c>
      <c r="S23" s="59">
        <f ca="1">AVERAGE(OFFSET($R$3,0,0,'Données projet'!$E$9+1,1))-AVERAGE(OFFSET($H$3,0,0,'Données projet'!$E$9+1,1))</f>
        <v>138.8931001150624</v>
      </c>
      <c r="T23" s="59">
        <f t="shared" si="34"/>
        <v>48.964659354096625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105</v>
      </c>
      <c r="AG23" s="12">
        <f>VLOOKUP(A23,'Données projet'!$A$61:$I$81,9,0)</f>
        <v>5.25</v>
      </c>
      <c r="AH23" s="12">
        <f t="array" ref="AH23">INDEX(AG:AG,MIN(IF(ISNUMBER(AG23:AG219),ROW(AG23:AG219),"")))</f>
        <v>5.25</v>
      </c>
      <c r="AI23" s="13">
        <f>IF('Données projet'!$A$62&gt;35,AI22+AH23-AQ22,IF(A23&lt;'Données projet'!$A$62,$AF$205^A23,IF(A23='Données projet'!$A$62,'Données projet'!$B$62,AI22+AH23-AQ22)))</f>
        <v>105</v>
      </c>
      <c r="AJ23" s="13">
        <f>AI23*VLOOKUP('Données projet'!$B$10,Paramètres!$A$1:$I$89,3,0)*VLOOKUP('Données projet'!$B$10,Paramètres!$A$1:$I$89,5,0)</f>
        <v>91.728000000000009</v>
      </c>
      <c r="AK23" s="13">
        <f t="shared" si="35"/>
        <v>24.981514582386563</v>
      </c>
      <c r="AL23" s="20">
        <f t="shared" si="4"/>
        <v>203.26907123098991</v>
      </c>
      <c r="AM23" s="59">
        <f t="shared" si="5"/>
        <v>496.60240456432325</v>
      </c>
      <c r="AN23" s="59">
        <f ca="1">AVERAGE(OFFSET($AM$3,0,0,'Données projet'!$E$10+1,1))-AVERAGE(OFFSET($H$3,0,0,'Données projet'!$E$10+1,1))</f>
        <v>191.94797389630673</v>
      </c>
      <c r="AO23" s="59">
        <f t="shared" si="36"/>
        <v>273.52540822767878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3.3090613585623756</v>
      </c>
      <c r="AW23" s="21">
        <f>EXP(-LN(2)/2)*AW22+(1-EXP(-LN(2)/2))/(LN(2)/2)*AQ23*AT23*VLOOKUP('Données projet'!$B$10,Paramètres!$A$1:$I$89,3,0)*0.475*44/12</f>
        <v>6.5941209007941382</v>
      </c>
      <c r="AX23" s="21">
        <f t="shared" si="6"/>
        <v>9.9031822593565142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81</v>
      </c>
      <c r="BB23" s="12">
        <f>VLOOKUP(A23,'Données projet'!$A$87:$I$107,9,0)</f>
        <v>4.05</v>
      </c>
      <c r="BC23" s="12">
        <f t="array" ref="BC23">INDEX(BB:BB,MIN(IF(ISNUMBER(BB23:BB219),ROW(BB23:BB219),"")))</f>
        <v>4.05</v>
      </c>
      <c r="BD23" s="12">
        <f>IF('Données projet'!$A$88&gt;35,BD22+BC23-BL22,IF(A23&lt;'Données projet'!$A$88,$BA$205^A23,IF(A23='Données projet'!$A$88,'Données projet'!$B$88,BD22+BC23-BL22)))</f>
        <v>81</v>
      </c>
      <c r="BE23" s="13">
        <f>BD23*VLOOKUP('Données projet'!$B$11,Paramètres!$A$1:$I$89,3,0)*VLOOKUP('Données projet'!$B$11,Paramètres!$A$1:$I$89,5,0)</f>
        <v>50.543999999999997</v>
      </c>
      <c r="BF23" s="13">
        <f t="shared" si="37"/>
        <v>14.754161433088251</v>
      </c>
      <c r="BG23" s="20">
        <f t="shared" si="7"/>
        <v>113.7276311626287</v>
      </c>
      <c r="BH23" s="59">
        <f t="shared" si="8"/>
        <v>407.06096449596203</v>
      </c>
      <c r="BI23" s="59">
        <f ca="1">AVERAGE(OFFSET($BH$3,0,0,'Données projet'!$E$11+1,1))-AVERAGE(OFFSET($H$3,0,0,'Données projet'!$E$11+1,1))</f>
        <v>162.91481796710048</v>
      </c>
      <c r="BJ23" s="59">
        <f t="shared" si="38"/>
        <v>182.56192390367823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3.7103262741355536</v>
      </c>
      <c r="BR23" s="21">
        <f>EXP(-LN(2)/2)*BR22+(1-EXP(-LN(2)/2))/(LN(2)/2)*BL23*BO23*VLOOKUP('Données projet'!$B$11,Paramètres!$A$1:$I$89,3,0)*0.475*44/12</f>
        <v>5.2988471524238596</v>
      </c>
      <c r="BS23" s="22">
        <f t="shared" si="9"/>
        <v>9.0091734265594141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115</v>
      </c>
      <c r="BW23" s="12">
        <f>VLOOKUP(A23,'Données projet'!$A$113:$I$133,9,0)</f>
        <v>5.75</v>
      </c>
      <c r="BX23" s="12">
        <f t="array" ref="BX23">INDEX(BW:BW,MIN(IF(ISNUMBER(BW23:BW219),ROW(BW23:BW219),"")))</f>
        <v>5.75</v>
      </c>
      <c r="BY23" s="12">
        <f>IF('Données projet'!$A$114&gt;35,BY22+BX23-CG22,IF(A23&lt;'Données projet'!$A$114,$BV$205^A23,IF(A23='Données projet'!$A$114,'Données projet'!$B$114,BY22+BX23-CG22)))</f>
        <v>115</v>
      </c>
      <c r="BZ23" s="13">
        <f>BY23*VLOOKUP('Données projet'!$B$12,Paramètres!$A$1:$I$89,3,0)*VLOOKUP('Données projet'!$B$12,Paramètres!$A$1:$I$89,5,0)</f>
        <v>53.82</v>
      </c>
      <c r="CA23" s="13">
        <f t="shared" si="39"/>
        <v>15.596024630246266</v>
      </c>
      <c r="CB23" s="20">
        <f t="shared" si="10"/>
        <v>120.89957623101225</v>
      </c>
      <c r="CC23" s="59">
        <f t="shared" si="11"/>
        <v>414.23290956434556</v>
      </c>
      <c r="CD23" s="59">
        <f ca="1">AVERAGE(OFFSET($CC$3,0,0,'Données projet'!$E$12+1,1))-AVERAGE(OFFSET($H$3,0,0,'Données projet'!$E$12+1,1))</f>
        <v>123.60520571614535</v>
      </c>
      <c r="CE23" s="59">
        <f t="shared" si="40"/>
        <v>119.00926870519527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6.9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1.173390684195369</v>
      </c>
      <c r="CM23" s="21">
        <f>EXP(-LN(2)/2)*CM22+(1-EXP(-LN(2)/2))/(LN(2)/2)*CG23*CJ23*VLOOKUP('Données projet'!$B$12,Paramètres!$A$1:$I$89,3,0)*0.475*44/12</f>
        <v>1.8281022675862317</v>
      </c>
      <c r="CN23" s="22">
        <f t="shared" si="12"/>
        <v>3.0014929517816009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15.881678671019593</v>
      </c>
      <c r="CV23" s="13">
        <f t="shared" si="41"/>
        <v>5.3047403101862871</v>
      </c>
      <c r="CW23" s="20">
        <f t="shared" si="13"/>
        <v>36.899679725600237</v>
      </c>
      <c r="CX23" s="59">
        <f t="shared" si="14"/>
        <v>330.23301305893358</v>
      </c>
      <c r="CY23" s="59">
        <f ca="1">AVERAGE(OFFSET($CX$3,0,0,'Données projet'!$E$13+1,1))-AVERAGE(OFFSET($H$3,0,0,'Données projet'!$E$13+1,1))</f>
        <v>177.94336949486529</v>
      </c>
      <c r="CZ23" s="59">
        <f t="shared" si="42"/>
        <v>65.559373432574603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62</v>
      </c>
      <c r="DM23" s="12">
        <f>VLOOKUP(A23,'Données projet'!$A$165:$I$185,9,0)</f>
        <v>3.1</v>
      </c>
      <c r="DN23" s="12">
        <f t="array" ref="DN23">INDEX(DM:DM,MIN(IF(ISNUMBER(DM23:DM219),ROW(DM23:DM219),"")))</f>
        <v>3.1</v>
      </c>
      <c r="DO23" s="12">
        <f>IF('Données projet'!$A$166&gt;35,DO22+DN23-DW22,IF(A23&lt;'Données projet'!$A$166,$DL$205^A23,IF(A23='Données projet'!$A$166,'Données projet'!$B$166,DO22+DN23-DW22)))</f>
        <v>62</v>
      </c>
      <c r="DP23" s="17">
        <f>DO23*VLOOKUP('Données projet'!$B$14,Paramètres!$A$1:$I$89,3,0)*VLOOKUP('Données projet'!$B$14,Paramètres!$A$1:$I$89,5,0)</f>
        <v>37.076000000000001</v>
      </c>
      <c r="DQ23" s="13">
        <f t="shared" si="43"/>
        <v>11.220249852136831</v>
      </c>
      <c r="DR23" s="20">
        <f t="shared" si="16"/>
        <v>84.115968492471652</v>
      </c>
      <c r="DS23" s="59">
        <f t="shared" si="17"/>
        <v>377.44930182580498</v>
      </c>
      <c r="DT23" s="59">
        <f ca="1">AVERAGE(OFFSET($DS$3,0,0,'Données projet'!$E$14+1,1))-AVERAGE(OFFSET($H$3,0,0,'Données projet'!$E$14+1,1))</f>
        <v>165.39579887388538</v>
      </c>
      <c r="DU23" s="59">
        <f t="shared" si="44"/>
        <v>155.89639262545802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70</v>
      </c>
      <c r="EH23" s="12">
        <f>VLOOKUP(A23,'Données projet'!$A$191:$I$211,9,0)</f>
        <v>3.5</v>
      </c>
      <c r="EI23" s="12">
        <f t="array" ref="EI23">INDEX(EH:EH,MIN(IF(ISNUMBER(EH23:EH219),ROW(EH23:EH219),"")))</f>
        <v>3.5</v>
      </c>
      <c r="EJ23" s="12">
        <f>IF('Données projet'!$A$192&gt;35,EJ22+EI23-ER22,IF(A23&lt;'Données projet'!$A$192,$EG$205^A23,IF(A23='Données projet'!$A$192,'Données projet'!$B$192,EJ22+EI23-ER22)))</f>
        <v>70</v>
      </c>
      <c r="EK23" s="17">
        <f>EJ23*VLOOKUP('Données projet'!$B$15,Paramètres!$A$1:$I$89,3,0)*VLOOKUP('Données projet'!$B$15,Paramètres!$A$1:$I$89,5,0)</f>
        <v>33.67</v>
      </c>
      <c r="EL23" s="13">
        <f t="shared" si="45"/>
        <v>10.304432590265284</v>
      </c>
      <c r="EM23" s="20">
        <f t="shared" si="19"/>
        <v>76.588803428045381</v>
      </c>
      <c r="EN23" s="59">
        <f t="shared" si="20"/>
        <v>369.92213676137868</v>
      </c>
      <c r="EO23" s="59">
        <f ca="1">AVERAGE(OFFSET($EN$3,0,0,'Données projet'!$E$15+1,1))-AVERAGE(OFFSET($H$3,0,0,'Données projet'!$E$15+1,1))</f>
        <v>252.30925789500111</v>
      </c>
      <c r="EP23" s="59">
        <f t="shared" si="46"/>
        <v>213.96033794804805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70</v>
      </c>
      <c r="FC23" s="12">
        <f>VLOOKUP(A23,'Données projet'!$A$217:$I$237,9,0)</f>
        <v>3.5</v>
      </c>
      <c r="FD23" s="12">
        <f t="array" ref="FD23">INDEX(FC:FC,MIN(IF(ISNUMBER(FC23:FC219),ROW(FC23:FC219),"")))</f>
        <v>3.5</v>
      </c>
      <c r="FE23" s="12">
        <f>IF('Données projet'!$A$218&gt;35,FE22+FD23-FM22,IF(A23&lt;'Données projet'!$A$218,$FB$205^A23,IF(A23='Données projet'!$A$218,'Données projet'!$B$218,FE22+FD23-FM22)))</f>
        <v>70</v>
      </c>
      <c r="FF23" s="17">
        <f>FE23*VLOOKUP('Données projet'!$B$16,Paramètres!$A$1:$I$89,3,0)*VLOOKUP('Données projet'!$B$16,Paramètres!$A$1:$I$89,5,0)</f>
        <v>33.67</v>
      </c>
      <c r="FG23" s="13">
        <f t="shared" si="47"/>
        <v>10.304432590265284</v>
      </c>
      <c r="FH23" s="20">
        <f t="shared" si="22"/>
        <v>76.588803428045381</v>
      </c>
      <c r="FI23" s="59">
        <f t="shared" si="23"/>
        <v>369.92213676137868</v>
      </c>
      <c r="FJ23" s="59">
        <f ca="1">AVERAGE(OFFSET($FI$3,0,0,'Données projet'!$E$16+1,1))-AVERAGE(OFFSET($H$3,0,0,'Données projet'!$E$16+1,1))</f>
        <v>252.30925789500111</v>
      </c>
      <c r="FK23" s="59">
        <f t="shared" si="48"/>
        <v>213.96033794804805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0.27500000000000002</v>
      </c>
      <c r="FP23" s="16">
        <f>IF(ISNA(VLOOKUP(A23,'Données projet'!$A$217:$I$237,7,0)),0%,VLOOKUP(A23,'Données projet'!$A$217:$I$237,7,0))</f>
        <v>0.5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91</v>
      </c>
      <c r="FX23" s="12">
        <f>VLOOKUP(A23,'Données projet'!$A$243:$I$263,9,0)</f>
        <v>10</v>
      </c>
      <c r="FY23" s="12">
        <f t="array" ref="FY23">INDEX(FX:FX,MIN(IF(ISNUMBER(FX23:FX219),ROW(FX23:FX219),"")))</f>
        <v>10</v>
      </c>
      <c r="FZ23" s="12">
        <f>IF('Données projet'!$A$244&gt;35,FZ22+FY23-GH22,IF(A23&lt;'Données projet'!$A$244,$FW$205^A23,IF(A23='Données projet'!$A$244,'Données projet'!$B$244,FZ22+FY23-GH22)))</f>
        <v>91</v>
      </c>
      <c r="GA23" s="17">
        <f>FZ23*VLOOKUP('Données projet'!$B$17,Paramètres!$A$1:$I$89,3,0)*VLOOKUP('Données projet'!$B$17,Paramètres!$A$1:$I$89,5,0)</f>
        <v>54.417999999999999</v>
      </c>
      <c r="GB23" s="13">
        <f t="shared" si="49"/>
        <v>15.749044324804036</v>
      </c>
      <c r="GC23" s="20">
        <f t="shared" si="25"/>
        <v>122.20760219903367</v>
      </c>
      <c r="GD23" s="59">
        <f t="shared" si="26"/>
        <v>415.54093553236697</v>
      </c>
      <c r="GE23" s="59">
        <f ca="1">AVERAGE(OFFSET($GD$3,0,0,'Données projet'!$E$17+1,1))-AVERAGE(OFFSET($H$3,0,0,'Données projet'!$E$17+1,1))</f>
        <v>117.54638373164624</v>
      </c>
      <c r="GF23" s="59">
        <f t="shared" si="50"/>
        <v>133.0740262536583</v>
      </c>
      <c r="GG23" s="15">
        <f>IF(ISNA(VLOOKUP(A23,'Données projet'!$A$243:$I$263,3,0)),0,VLOOKUP(A23,'Données projet'!$A$243:$I$263,3,0))</f>
        <v>2</v>
      </c>
      <c r="GH23" s="15">
        <f>IF(ISNA(VLOOKUP(A23,'Données projet'!$A$243:$I$263,4,0)),0,VLOOKUP(A23,'Données projet'!$A$243:$I$263,4,0))</f>
        <v>14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0.22500000000000001</v>
      </c>
      <c r="GK23" s="16">
        <f>IF(ISNA(VLOOKUP(A23,'Données projet'!$A$243:$I$263,7,0)),0%,VLOOKUP(A23,'Données projet'!$A$243:$I$263,7,0))</f>
        <v>0.5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3.7619973062910037</v>
      </c>
      <c r="GN23" s="21">
        <f>EXP(-LN(2)/2)*GN22+(1-EXP(-LN(2)/2))/(LN(2)/2)*GH23*GK23*VLOOKUP('Données projet'!$B$17,Paramètres!$A$1:$I$89,3,0)*0.475*44/12</f>
        <v>5.416599311366614</v>
      </c>
      <c r="GO23" s="21">
        <f t="shared" si="27"/>
        <v>9.1785966176576181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178</v>
      </c>
      <c r="GS23" s="12">
        <f>VLOOKUP(A23,'Données projet'!$A$269:$I$289,9,0)</f>
        <v>15.8</v>
      </c>
      <c r="GT23" s="12">
        <f t="array" ref="GT23">INDEX(GS:GS,MIN(IF(ISNUMBER(GS23:GS219),ROW(GS23:GS219),"")))</f>
        <v>15.8</v>
      </c>
      <c r="GU23" s="12">
        <f>IF('Données projet'!$A$270&gt;35,GU22+GT23-HC22,IF(A23&lt;'Données projet'!$A$270,$GR$205^A23,IF(A23='Données projet'!$A$270,'Données projet'!$B$270,GU22+GT23-HC22)))</f>
        <v>178.00000000000003</v>
      </c>
      <c r="GV23" s="17">
        <f>GU23*VLOOKUP('Données projet'!$B$18,Paramètres!$A$1:$I$89,3,0)*VLOOKUP('Données projet'!$B$18,Paramètres!$A$1:$I$89,5,0)</f>
        <v>84.970080000000024</v>
      </c>
      <c r="GW23" s="13">
        <f t="shared" si="51"/>
        <v>23.34809901766922</v>
      </c>
      <c r="GX23" s="20">
        <f t="shared" si="28"/>
        <v>188.65416178910729</v>
      </c>
      <c r="GY23" s="59">
        <f t="shared" si="29"/>
        <v>481.98749512244058</v>
      </c>
      <c r="GZ23" s="59">
        <f ca="1">AVERAGE(OFFSET($GY$3,0,0,'Données projet'!$E$18+1,1))-AVERAGE(OFFSET($H$3,0,0,'Données projet'!$E$18+1,1))</f>
        <v>43.147469606759159</v>
      </c>
      <c r="HA23" s="59">
        <f t="shared" si="52"/>
        <v>147.46995307968473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178</v>
      </c>
      <c r="HD23" s="16">
        <f>IF(ISNA(VLOOKUP(A23,'Données projet'!$A$269:$I$289,5,0)),0%,VLOOKUP(A23,'Données projet'!$A$269:$I$289,5,0)*VLOOKUP('Données projet'!$B$18,Paramètres!$A$1:$I$89,7,0))</f>
        <v>0.46799999999999997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0.22</v>
      </c>
      <c r="HG23" s="21">
        <f>EXP(-LN(2)/35)*HG22+(1-EXP(-LN(2)/35))/(LN(2)/35)*HC23*HD23*VLOOKUP('Données projet'!$B$18,Paramètres!$A$1:$I$89,3,0)*0.475*44/12</f>
        <v>43.960132282503118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17.637742631558059</v>
      </c>
      <c r="HJ23" s="22">
        <f t="shared" si="30"/>
        <v>61.59787491406118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1.2</v>
      </c>
      <c r="N24" s="13">
        <f>IF('Données projet'!$A$36&gt;35,N23+M24-V23,IF(A24&lt;'Données projet'!$A$36,$K$205^A24,IF(A24='Données projet'!$A$36,'Données projet'!$B$36,N23+M24-V23)))</f>
        <v>17.409321838276906</v>
      </c>
      <c r="O24" s="13">
        <f>N24*VLOOKUP('Données projet'!$B$9,Paramètres!$A$1:$I$89,3,0)*VLOOKUP('Données projet'!$B$9,Paramètres!$A$1:$I$89,5,0)</f>
        <v>15.751954399272945</v>
      </c>
      <c r="P24" s="13">
        <f t="shared" si="33"/>
        <v>5.2664356414391653</v>
      </c>
      <c r="Q24" s="20">
        <f t="shared" si="2"/>
        <v>36.607029320906918</v>
      </c>
      <c r="R24" s="59">
        <f t="shared" si="0"/>
        <v>329.94036265424023</v>
      </c>
      <c r="S24" s="59">
        <f ca="1">AVERAGE(OFFSET($R$3,0,0,'Données projet'!$E$9+1,1))-AVERAGE(OFFSET($H$3,0,0,'Données projet'!$E$9+1,1))</f>
        <v>138.8931001150624</v>
      </c>
      <c r="T24" s="59">
        <f t="shared" si="34"/>
        <v>48.964659354096625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83.2</v>
      </c>
      <c r="AJ24" s="13">
        <f>AI24*VLOOKUP('Données projet'!$B$10,Paramètres!$A$1:$I$89,3,0)*VLOOKUP('Données projet'!$B$10,Paramètres!$A$1:$I$89,5,0)</f>
        <v>72.683520000000016</v>
      </c>
      <c r="AK24" s="13">
        <f t="shared" si="35"/>
        <v>20.338404088189375</v>
      </c>
      <c r="AL24" s="20">
        <f t="shared" si="4"/>
        <v>162.01318445359652</v>
      </c>
      <c r="AM24" s="59">
        <f t="shared" si="5"/>
        <v>455.34651778692984</v>
      </c>
      <c r="AN24" s="59">
        <f ca="1">AVERAGE(OFFSET($AM$3,0,0,'Données projet'!$E$10+1,1))-AVERAGE(OFFSET($H$3,0,0,'Données projet'!$E$10+1,1))</f>
        <v>191.94797389630673</v>
      </c>
      <c r="AO24" s="59">
        <f t="shared" si="36"/>
        <v>273.52540822767878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3.2185749016965137</v>
      </c>
      <c r="AW24" s="21">
        <f>EXP(-LN(2)/2)*AW23+(1-EXP(-LN(2)/2))/(LN(2)/2)*AQ24*AT24*VLOOKUP('Données projet'!$B$10,Paramètres!$A$1:$I$89,3,0)*0.475*44/12</f>
        <v>4.6627476049154808</v>
      </c>
      <c r="AX24" s="21">
        <f t="shared" si="6"/>
        <v>7.8813225066119941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11.1</v>
      </c>
      <c r="BD24" s="12">
        <f>IF('Données projet'!$A$88&gt;35,BD23+BC24-BL23,IF(A24&lt;'Données projet'!$A$88,$BA$205^A24,IF(A24='Données projet'!$A$88,'Données projet'!$B$88,BD23+BC24-BL23)))</f>
        <v>77.099999999999994</v>
      </c>
      <c r="BE24" s="13">
        <f>BD24*VLOOKUP('Données projet'!$B$11,Paramètres!$A$1:$I$89,3,0)*VLOOKUP('Données projet'!$B$11,Paramètres!$A$1:$I$89,5,0)</f>
        <v>48.110399999999998</v>
      </c>
      <c r="BF24" s="13">
        <f t="shared" si="37"/>
        <v>14.124673471362632</v>
      </c>
      <c r="BG24" s="20">
        <f t="shared" si="7"/>
        <v>108.39275296262325</v>
      </c>
      <c r="BH24" s="59">
        <f t="shared" si="8"/>
        <v>401.72608629595658</v>
      </c>
      <c r="BI24" s="59">
        <f ca="1">AVERAGE(OFFSET($BH$3,0,0,'Données projet'!$E$11+1,1))-AVERAGE(OFFSET($H$3,0,0,'Données projet'!$E$11+1,1))</f>
        <v>162.91481796710048</v>
      </c>
      <c r="BJ24" s="59">
        <f t="shared" si="38"/>
        <v>182.56192390367823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3.608867207051738</v>
      </c>
      <c r="BR24" s="21">
        <f>EXP(-LN(2)/2)*BR23+(1-EXP(-LN(2)/2))/(LN(2)/2)*BL24*BO24*VLOOKUP('Données projet'!$B$11,Paramètres!$A$1:$I$89,3,0)*0.475*44/12</f>
        <v>3.7468507539499387</v>
      </c>
      <c r="BS24" s="22">
        <f t="shared" si="9"/>
        <v>7.3557179610016767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6.5</v>
      </c>
      <c r="BY24" s="12">
        <f>IF('Données projet'!$A$114&gt;35,BY23+BX24-CG23,IF(A24&lt;'Données projet'!$A$114,$BV$205^A24,IF(A24='Données projet'!$A$114,'Données projet'!$B$114,BY23+BX24-CG23)))</f>
        <v>114.6</v>
      </c>
      <c r="BZ24" s="13">
        <f>BY24*VLOOKUP('Données projet'!$B$12,Paramètres!$A$1:$I$89,3,0)*VLOOKUP('Données projet'!$B$12,Paramètres!$A$1:$I$89,5,0)</f>
        <v>53.632799999999996</v>
      </c>
      <c r="CA24" s="13">
        <f t="shared" si="39"/>
        <v>15.548082227939483</v>
      </c>
      <c r="CB24" s="20">
        <f t="shared" si="10"/>
        <v>120.49003654699459</v>
      </c>
      <c r="CC24" s="59">
        <f t="shared" si="11"/>
        <v>413.8233698803279</v>
      </c>
      <c r="CD24" s="59">
        <f ca="1">AVERAGE(OFFSET($CC$3,0,0,'Données projet'!$E$12+1,1))-AVERAGE(OFFSET($H$3,0,0,'Données projet'!$E$12+1,1))</f>
        <v>123.60520571614535</v>
      </c>
      <c r="CE24" s="59">
        <f t="shared" si="40"/>
        <v>119.00926870519527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1.1413042542301124</v>
      </c>
      <c r="CM24" s="21">
        <f>EXP(-LN(2)/2)*CM23+(1-EXP(-LN(2)/2))/(LN(2)/2)*CG24*CJ24*VLOOKUP('Données projet'!$B$12,Paramètres!$A$1:$I$89,3,0)*0.475*44/12</f>
        <v>1.2926635101127291</v>
      </c>
      <c r="CN24" s="22">
        <f t="shared" si="12"/>
        <v>2.4339677643428415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18.196223185367025</v>
      </c>
      <c r="CV24" s="13">
        <f t="shared" si="41"/>
        <v>5.9823456440857257</v>
      </c>
      <c r="CW24" s="20">
        <f t="shared" si="13"/>
        <v>42.111007377963539</v>
      </c>
      <c r="CX24" s="59">
        <f t="shared" si="14"/>
        <v>335.44434071129683</v>
      </c>
      <c r="CY24" s="59">
        <f ca="1">AVERAGE(OFFSET($CX$3,0,0,'Données projet'!$E$13+1,1))-AVERAGE(OFFSET($H$3,0,0,'Données projet'!$E$13+1,1))</f>
        <v>177.94336949486529</v>
      </c>
      <c r="CZ24" s="59">
        <f t="shared" si="42"/>
        <v>65.559373432574603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10.199999999999999</v>
      </c>
      <c r="DO24" s="12">
        <f>IF('Données projet'!$A$166&gt;35,DO23+DN24-DW23,IF(A24&lt;'Données projet'!$A$166,$DL$205^A24,IF(A24='Données projet'!$A$166,'Données projet'!$B$166,DO23+DN24-DW23)))</f>
        <v>72.2</v>
      </c>
      <c r="DP24" s="17">
        <f>DO24*VLOOKUP('Données projet'!$B$14,Paramètres!$A$1:$I$89,3,0)*VLOOKUP('Données projet'!$B$14,Paramètres!$A$1:$I$89,5,0)</f>
        <v>43.175600000000003</v>
      </c>
      <c r="DQ24" s="13">
        <f t="shared" si="43"/>
        <v>12.836561291924522</v>
      </c>
      <c r="DR24" s="20">
        <f t="shared" si="16"/>
        <v>97.554514250101889</v>
      </c>
      <c r="DS24" s="59">
        <f t="shared" si="17"/>
        <v>390.88784758343519</v>
      </c>
      <c r="DT24" s="59">
        <f ca="1">AVERAGE(OFFSET($DS$3,0,0,'Données projet'!$E$14+1,1))-AVERAGE(OFFSET($H$3,0,0,'Données projet'!$E$14+1,1))</f>
        <v>165.39579887388538</v>
      </c>
      <c r="DU24" s="59">
        <f t="shared" si="44"/>
        <v>155.89639262545802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19</v>
      </c>
      <c r="EJ24" s="12">
        <f>IF('Données projet'!$A$192&gt;35,EJ23+EI24-ER23,IF(A24&lt;'Données projet'!$A$192,$EG$205^A24,IF(A24='Données projet'!$A$192,'Données projet'!$B$192,EJ23+EI24-ER23)))</f>
        <v>89</v>
      </c>
      <c r="EK24" s="17">
        <f>EJ24*VLOOKUP('Données projet'!$B$15,Paramètres!$A$1:$I$89,3,0)*VLOOKUP('Données projet'!$B$15,Paramètres!$A$1:$I$89,5,0)</f>
        <v>42.809000000000005</v>
      </c>
      <c r="EL24" s="13">
        <f t="shared" si="45"/>
        <v>12.740206408885715</v>
      </c>
      <c r="EM24" s="20">
        <f t="shared" si="19"/>
        <v>96.748201162142621</v>
      </c>
      <c r="EN24" s="59">
        <f t="shared" si="20"/>
        <v>390.08153449547592</v>
      </c>
      <c r="EO24" s="59">
        <f ca="1">AVERAGE(OFFSET($EN$3,0,0,'Données projet'!$E$15+1,1))-AVERAGE(OFFSET($H$3,0,0,'Données projet'!$E$15+1,1))</f>
        <v>252.30925789500111</v>
      </c>
      <c r="EP24" s="59">
        <f t="shared" si="46"/>
        <v>213.96033794804805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19</v>
      </c>
      <c r="FE24" s="12">
        <f>IF('Données projet'!$A$218&gt;35,FE23+FD24-FM23,IF(A24&lt;'Données projet'!$A$218,$FB$205^A24,IF(A24='Données projet'!$A$218,'Données projet'!$B$218,FE23+FD24-FM23)))</f>
        <v>89</v>
      </c>
      <c r="FF24" s="17">
        <f>FE24*VLOOKUP('Données projet'!$B$16,Paramètres!$A$1:$I$89,3,0)*VLOOKUP('Données projet'!$B$16,Paramètres!$A$1:$I$89,5,0)</f>
        <v>42.809000000000005</v>
      </c>
      <c r="FG24" s="13">
        <f t="shared" si="47"/>
        <v>12.740206408885715</v>
      </c>
      <c r="FH24" s="20">
        <f t="shared" si="22"/>
        <v>96.748201162142621</v>
      </c>
      <c r="FI24" s="59">
        <f t="shared" si="23"/>
        <v>390.08153449547592</v>
      </c>
      <c r="FJ24" s="59">
        <f ca="1">AVERAGE(OFFSET($FI$3,0,0,'Données projet'!$E$16+1,1))-AVERAGE(OFFSET($H$3,0,0,'Données projet'!$E$16+1,1))</f>
        <v>252.30925789500111</v>
      </c>
      <c r="FK24" s="59">
        <f t="shared" si="48"/>
        <v>213.96033794804805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11</v>
      </c>
      <c r="FZ24" s="12">
        <f>IF('Données projet'!$A$244&gt;35,FZ23+FY24-GH23,IF(A24&lt;'Données projet'!$A$244,$FW$205^A24,IF(A24='Données projet'!$A$244,'Données projet'!$B$244,FZ23+FY24-GH23)))</f>
        <v>88</v>
      </c>
      <c r="GA24" s="17">
        <f>FZ24*VLOOKUP('Données projet'!$B$17,Paramètres!$A$1:$I$89,3,0)*VLOOKUP('Données projet'!$B$17,Paramètres!$A$1:$I$89,5,0)</f>
        <v>52.624000000000009</v>
      </c>
      <c r="GB24" s="13">
        <f t="shared" si="49"/>
        <v>15.289388641788772</v>
      </c>
      <c r="GC24" s="20">
        <f t="shared" si="25"/>
        <v>118.28248521778211</v>
      </c>
      <c r="GD24" s="59">
        <f t="shared" si="26"/>
        <v>411.61581855111541</v>
      </c>
      <c r="GE24" s="59">
        <f ca="1">AVERAGE(OFFSET($GD$3,0,0,'Données projet'!$E$17+1,1))-AVERAGE(OFFSET($H$3,0,0,'Données projet'!$E$17+1,1))</f>
        <v>117.54638373164624</v>
      </c>
      <c r="GF24" s="59">
        <f t="shared" si="50"/>
        <v>133.0740262536583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3.6591252921156361</v>
      </c>
      <c r="GN24" s="21">
        <f>EXP(-LN(2)/2)*GN23+(1-EXP(-LN(2)/2))/(LN(2)/2)*GH24*GK24*VLOOKUP('Données projet'!$B$17,Paramètres!$A$1:$I$89,3,0)*0.475*44/12</f>
        <v>3.8301141040377167</v>
      </c>
      <c r="GO24" s="21">
        <f t="shared" si="27"/>
        <v>7.4892393961533532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2.8421709430404007E-14</v>
      </c>
      <c r="GV24" s="17">
        <f>GU24*VLOOKUP('Données projet'!$B$18,Paramètres!$A$1:$I$89,3,0)*VLOOKUP('Données projet'!$B$18,Paramètres!$A$1:$I$89,5,0)</f>
        <v>1.3567387213697657E-14</v>
      </c>
      <c r="GW24" s="13">
        <f t="shared" si="51"/>
        <v>2.5717320947985821E-13</v>
      </c>
      <c r="GX24" s="20">
        <f t="shared" si="28"/>
        <v>4.7153987257460977E-13</v>
      </c>
      <c r="GY24" s="59">
        <f t="shared" si="29"/>
        <v>293.33333333333377</v>
      </c>
      <c r="GZ24" s="59">
        <f ca="1">AVERAGE(OFFSET($GY$3,0,0,'Données projet'!$E$18+1,1))-AVERAGE(OFFSET($H$3,0,0,'Données projet'!$E$18+1,1))</f>
        <v>43.147469606759159</v>
      </c>
      <c r="HA24" s="59">
        <f t="shared" si="52"/>
        <v>147.46995307968473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43.098100901476357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12.471767419597766</v>
      </c>
      <c r="HJ24" s="22">
        <f t="shared" si="30"/>
        <v>55.569868321074125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1.2</v>
      </c>
      <c r="N25" s="13">
        <f>IF('Données projet'!$A$36&gt;35,N24+M25-V24,IF(A25&lt;'Données projet'!$A$36,$K$205^A25,IF(A25='Données projet'!$A$36,'Données projet'!$B$36,N24+M25-V24)))</f>
        <v>19.946500129940819</v>
      </c>
      <c r="O25" s="13">
        <f>N25*VLOOKUP('Données projet'!$B$9,Paramètres!$A$1:$I$89,3,0)*VLOOKUP('Données projet'!$B$9,Paramètres!$A$1:$I$89,5,0)</f>
        <v>18.047593317570453</v>
      </c>
      <c r="P25" s="13">
        <f t="shared" si="33"/>
        <v>5.9391480972072355</v>
      </c>
      <c r="Q25" s="20">
        <f t="shared" si="2"/>
        <v>41.776907964071142</v>
      </c>
      <c r="R25" s="59">
        <f t="shared" si="0"/>
        <v>335.11024129740446</v>
      </c>
      <c r="S25" s="59">
        <f ca="1">AVERAGE(OFFSET($R$3,0,0,'Données projet'!$E$9+1,1))-AVERAGE(OFFSET($H$3,0,0,'Données projet'!$E$9+1,1))</f>
        <v>138.8931001150624</v>
      </c>
      <c r="T25" s="59">
        <f t="shared" si="34"/>
        <v>48.964659354096625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93.4</v>
      </c>
      <c r="AJ25" s="13">
        <f>AI25*VLOOKUP('Données projet'!$B$10,Paramètres!$A$1:$I$89,3,0)*VLOOKUP('Données projet'!$B$10,Paramètres!$A$1:$I$89,5,0)</f>
        <v>81.594240000000013</v>
      </c>
      <c r="AK25" s="13">
        <f t="shared" si="35"/>
        <v>22.526535320646357</v>
      </c>
      <c r="AL25" s="20">
        <f t="shared" si="4"/>
        <v>181.34368368345909</v>
      </c>
      <c r="AM25" s="59">
        <f t="shared" si="5"/>
        <v>474.67701701679243</v>
      </c>
      <c r="AN25" s="59">
        <f ca="1">AVERAGE(OFFSET($AM$3,0,0,'Données projet'!$E$10+1,1))-AVERAGE(OFFSET($H$3,0,0,'Données projet'!$E$10+1,1))</f>
        <v>191.94797389630673</v>
      </c>
      <c r="AO25" s="59">
        <f t="shared" si="36"/>
        <v>273.52540822767878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3.1305628017521245</v>
      </c>
      <c r="AW25" s="21">
        <f>EXP(-LN(2)/2)*AW24+(1-EXP(-LN(2)/2))/(LN(2)/2)*AQ25*AT25*VLOOKUP('Données projet'!$B$10,Paramètres!$A$1:$I$89,3,0)*0.475*44/12</f>
        <v>3.2970604503970695</v>
      </c>
      <c r="AX25" s="21">
        <f t="shared" si="6"/>
        <v>6.4276232521491945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11.1</v>
      </c>
      <c r="BD25" s="12">
        <f>IF('Données projet'!$A$88&gt;35,BD24+BC25-BL24,IF(A25&lt;'Données projet'!$A$88,$BA$205^A25,IF(A25='Données projet'!$A$88,'Données projet'!$B$88,BD24+BC25-BL24)))</f>
        <v>88.199999999999989</v>
      </c>
      <c r="BE25" s="13">
        <f>BD25*VLOOKUP('Données projet'!$B$11,Paramètres!$A$1:$I$89,3,0)*VLOOKUP('Données projet'!$B$11,Paramètres!$A$1:$I$89,5,0)</f>
        <v>55.036799999999992</v>
      </c>
      <c r="BF25" s="13">
        <f t="shared" si="37"/>
        <v>15.907180538864338</v>
      </c>
      <c r="BG25" s="20">
        <f t="shared" si="7"/>
        <v>123.56076610518873</v>
      </c>
      <c r="BH25" s="59">
        <f t="shared" si="8"/>
        <v>416.89409943852206</v>
      </c>
      <c r="BI25" s="59">
        <f ca="1">AVERAGE(OFFSET($BH$3,0,0,'Données projet'!$E$11+1,1))-AVERAGE(OFFSET($H$3,0,0,'Données projet'!$E$11+1,1))</f>
        <v>162.91481796710048</v>
      </c>
      <c r="BJ25" s="59">
        <f t="shared" si="38"/>
        <v>182.56192390367823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3.5101825434928302</v>
      </c>
      <c r="BR25" s="21">
        <f>EXP(-LN(2)/2)*BR24+(1-EXP(-LN(2)/2))/(LN(2)/2)*BL25*BO25*VLOOKUP('Données projet'!$B$11,Paramètres!$A$1:$I$89,3,0)*0.475*44/12</f>
        <v>2.6494235762119303</v>
      </c>
      <c r="BS25" s="22">
        <f t="shared" si="9"/>
        <v>6.15960611970476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6.5</v>
      </c>
      <c r="BY25" s="12">
        <f>IF('Données projet'!$A$114&gt;35,BY24+BX25-CG24,IF(A25&lt;'Données projet'!$A$114,$BV$205^A25,IF(A25='Données projet'!$A$114,'Données projet'!$B$114,BY24+BX25-CG24)))</f>
        <v>121.1</v>
      </c>
      <c r="BZ25" s="13">
        <f>BY25*VLOOKUP('Données projet'!$B$12,Paramètres!$A$1:$I$89,3,0)*VLOOKUP('Données projet'!$B$12,Paramètres!$A$1:$I$89,5,0)</f>
        <v>56.674799999999998</v>
      </c>
      <c r="CA25" s="13">
        <f t="shared" si="39"/>
        <v>16.32478482217585</v>
      </c>
      <c r="CB25" s="20">
        <f t="shared" si="10"/>
        <v>127.1409435652896</v>
      </c>
      <c r="CC25" s="59">
        <f t="shared" si="11"/>
        <v>420.47427689862292</v>
      </c>
      <c r="CD25" s="59">
        <f ca="1">AVERAGE(OFFSET($CC$3,0,0,'Données projet'!$E$12+1,1))-AVERAGE(OFFSET($H$3,0,0,'Données projet'!$E$12+1,1))</f>
        <v>123.60520571614535</v>
      </c>
      <c r="CE25" s="59">
        <f t="shared" si="40"/>
        <v>119.00926870519527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1.1100952293796078</v>
      </c>
      <c r="CM25" s="21">
        <f>EXP(-LN(2)/2)*CM24+(1-EXP(-LN(2)/2))/(LN(2)/2)*CG25*CJ25*VLOOKUP('Données projet'!$B$12,Paramètres!$A$1:$I$89,3,0)*0.475*44/12</f>
        <v>0.91405113379311609</v>
      </c>
      <c r="CN25" s="22">
        <f t="shared" si="12"/>
        <v>2.0241463631727239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20.848081935814147</v>
      </c>
      <c r="CV25" s="13">
        <f t="shared" si="41"/>
        <v>6.7465054484551477</v>
      </c>
      <c r="CW25" s="20">
        <f t="shared" si="13"/>
        <v>48.060573027602352</v>
      </c>
      <c r="CX25" s="59">
        <f t="shared" si="14"/>
        <v>341.39390636093566</v>
      </c>
      <c r="CY25" s="59">
        <f ca="1">AVERAGE(OFFSET($CX$3,0,0,'Données projet'!$E$13+1,1))-AVERAGE(OFFSET($H$3,0,0,'Données projet'!$E$13+1,1))</f>
        <v>177.94336949486529</v>
      </c>
      <c r="CZ25" s="59">
        <f t="shared" si="42"/>
        <v>65.559373432574603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10.199999999999999</v>
      </c>
      <c r="DO25" s="12">
        <f>IF('Données projet'!$A$166&gt;35,DO24+DN25-DW24,IF(A25&lt;'Données projet'!$A$166,$DL$205^A25,IF(A25='Données projet'!$A$166,'Données projet'!$B$166,DO24+DN25-DW24)))</f>
        <v>82.4</v>
      </c>
      <c r="DP25" s="17">
        <f>DO25*VLOOKUP('Données projet'!$B$14,Paramètres!$A$1:$I$89,3,0)*VLOOKUP('Données projet'!$B$14,Paramètres!$A$1:$I$89,5,0)</f>
        <v>49.275200000000005</v>
      </c>
      <c r="DQ25" s="13">
        <f t="shared" si="43"/>
        <v>14.426418124326277</v>
      </c>
      <c r="DR25" s="20">
        <f t="shared" si="16"/>
        <v>110.94698489986827</v>
      </c>
      <c r="DS25" s="59">
        <f t="shared" si="17"/>
        <v>404.28031823320157</v>
      </c>
      <c r="DT25" s="59">
        <f ca="1">AVERAGE(OFFSET($DS$3,0,0,'Données projet'!$E$14+1,1))-AVERAGE(OFFSET($H$3,0,0,'Données projet'!$E$14+1,1))</f>
        <v>165.39579887388538</v>
      </c>
      <c r="DU25" s="59">
        <f t="shared" si="44"/>
        <v>155.89639262545802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19</v>
      </c>
      <c r="EJ25" s="12">
        <f>IF('Données projet'!$A$192&gt;35,EJ24+EI25-ER24,IF(A25&lt;'Données projet'!$A$192,$EG$205^A25,IF(A25='Données projet'!$A$192,'Données projet'!$B$192,EJ24+EI25-ER24)))</f>
        <v>108</v>
      </c>
      <c r="EK25" s="17">
        <f>EJ25*VLOOKUP('Données projet'!$B$15,Paramètres!$A$1:$I$89,3,0)*VLOOKUP('Données projet'!$B$15,Paramètres!$A$1:$I$89,5,0)</f>
        <v>51.948</v>
      </c>
      <c r="EL25" s="13">
        <f t="shared" si="45"/>
        <v>15.115714645211892</v>
      </c>
      <c r="EM25" s="20">
        <f t="shared" si="19"/>
        <v>116.8026363404107</v>
      </c>
      <c r="EN25" s="59">
        <f t="shared" si="20"/>
        <v>410.135969673744</v>
      </c>
      <c r="EO25" s="59">
        <f ca="1">AVERAGE(OFFSET($EN$3,0,0,'Données projet'!$E$15+1,1))-AVERAGE(OFFSET($H$3,0,0,'Données projet'!$E$15+1,1))</f>
        <v>252.30925789500111</v>
      </c>
      <c r="EP25" s="59">
        <f t="shared" si="46"/>
        <v>213.96033794804805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19</v>
      </c>
      <c r="FE25" s="12">
        <f>IF('Données projet'!$A$218&gt;35,FE24+FD25-FM24,IF(A25&lt;'Données projet'!$A$218,$FB$205^A25,IF(A25='Données projet'!$A$218,'Données projet'!$B$218,FE24+FD25-FM24)))</f>
        <v>108</v>
      </c>
      <c r="FF25" s="17">
        <f>FE25*VLOOKUP('Données projet'!$B$16,Paramètres!$A$1:$I$89,3,0)*VLOOKUP('Données projet'!$B$16,Paramètres!$A$1:$I$89,5,0)</f>
        <v>51.948</v>
      </c>
      <c r="FG25" s="13">
        <f t="shared" si="47"/>
        <v>15.115714645211892</v>
      </c>
      <c r="FH25" s="20">
        <f t="shared" si="22"/>
        <v>116.8026363404107</v>
      </c>
      <c r="FI25" s="59">
        <f t="shared" si="23"/>
        <v>410.135969673744</v>
      </c>
      <c r="FJ25" s="59">
        <f ca="1">AVERAGE(OFFSET($FI$3,0,0,'Données projet'!$E$16+1,1))-AVERAGE(OFFSET($H$3,0,0,'Données projet'!$E$16+1,1))</f>
        <v>252.30925789500111</v>
      </c>
      <c r="FK25" s="59">
        <f t="shared" si="48"/>
        <v>213.96033794804805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11</v>
      </c>
      <c r="FZ25" s="12">
        <f>IF('Données projet'!$A$244&gt;35,FZ24+FY25-GH24,IF(A25&lt;'Données projet'!$A$244,$FW$205^A25,IF(A25='Données projet'!$A$244,'Données projet'!$B$244,FZ24+FY25-GH24)))</f>
        <v>99</v>
      </c>
      <c r="GA25" s="17">
        <f>FZ25*VLOOKUP('Données projet'!$B$17,Paramètres!$A$1:$I$89,3,0)*VLOOKUP('Données projet'!$B$17,Paramètres!$A$1:$I$89,5,0)</f>
        <v>59.201999999999998</v>
      </c>
      <c r="GB25" s="13">
        <f t="shared" si="49"/>
        <v>16.966352622896878</v>
      </c>
      <c r="GC25" s="20">
        <f t="shared" si="25"/>
        <v>132.65988081821206</v>
      </c>
      <c r="GD25" s="59">
        <f t="shared" si="26"/>
        <v>425.99321415154537</v>
      </c>
      <c r="GE25" s="59">
        <f ca="1">AVERAGE(OFFSET($GD$3,0,0,'Données projet'!$E$17+1,1))-AVERAGE(OFFSET($H$3,0,0,'Données projet'!$E$17+1,1))</f>
        <v>117.54638373164624</v>
      </c>
      <c r="GF25" s="59">
        <f t="shared" si="50"/>
        <v>133.0740262536583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3.5590663185776981</v>
      </c>
      <c r="GN25" s="21">
        <f>EXP(-LN(2)/2)*GN24+(1-EXP(-LN(2)/2))/(LN(2)/2)*GH25*GK25*VLOOKUP('Données projet'!$B$17,Paramètres!$A$1:$I$89,3,0)*0.475*44/12</f>
        <v>2.7082996556833074</v>
      </c>
      <c r="GO25" s="21">
        <f t="shared" si="27"/>
        <v>6.2673659742610059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2.8421709430404007E-14</v>
      </c>
      <c r="GV25" s="17">
        <f>GU25*VLOOKUP('Données projet'!$B$18,Paramètres!$A$1:$I$89,3,0)*VLOOKUP('Données projet'!$B$18,Paramètres!$A$1:$I$89,5,0)</f>
        <v>1.3567387213697657E-14</v>
      </c>
      <c r="GW25" s="13">
        <f t="shared" si="51"/>
        <v>2.5717320947985821E-13</v>
      </c>
      <c r="GX25" s="20">
        <f t="shared" si="28"/>
        <v>4.7153987257460977E-13</v>
      </c>
      <c r="GY25" s="59">
        <f t="shared" si="29"/>
        <v>293.33333333333377</v>
      </c>
      <c r="GZ25" s="59">
        <f ca="1">AVERAGE(OFFSET($GY$3,0,0,'Données projet'!$E$18+1,1))-AVERAGE(OFFSET($H$3,0,0,'Données projet'!$E$18+1,1))</f>
        <v>43.147469606759159</v>
      </c>
      <c r="HA25" s="59">
        <f t="shared" si="52"/>
        <v>147.46995307968473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42.252973430044307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8.8188713157790311</v>
      </c>
      <c r="HJ25" s="22">
        <f t="shared" si="30"/>
        <v>51.071844745823341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1.2</v>
      </c>
      <c r="N26" s="13">
        <f>IF('Données projet'!$A$36&gt;35,N25+M26-V25,IF(A26&lt;'Données projet'!$A$36,$K$205^A26,IF(A26='Données projet'!$A$36,'Données projet'!$B$36,N25+M26-V25)))</f>
        <v>22.853438584779923</v>
      </c>
      <c r="O26" s="13">
        <f>N26*VLOOKUP('Données projet'!$B$9,Paramètres!$A$1:$I$89,3,0)*VLOOKUP('Données projet'!$B$9,Paramètres!$A$1:$I$89,5,0)</f>
        <v>20.677791231508873</v>
      </c>
      <c r="P26" s="13">
        <f t="shared" si="33"/>
        <v>6.6977900276630162</v>
      </c>
      <c r="Q26" s="20">
        <f t="shared" si="2"/>
        <v>47.679137359724372</v>
      </c>
      <c r="R26" s="59">
        <f t="shared" si="0"/>
        <v>341.01247069305771</v>
      </c>
      <c r="S26" s="59">
        <f ca="1">AVERAGE(OFFSET($R$3,0,0,'Données projet'!$E$9+1,1))-AVERAGE(OFFSET($H$3,0,0,'Données projet'!$E$9+1,1))</f>
        <v>138.8931001150624</v>
      </c>
      <c r="T26" s="59">
        <f t="shared" si="34"/>
        <v>48.964659354096625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103.60000000000001</v>
      </c>
      <c r="AJ26" s="13">
        <f>AI26*VLOOKUP('Données projet'!$B$10,Paramètres!$A$1:$I$89,3,0)*VLOOKUP('Données projet'!$B$10,Paramètres!$A$1:$I$89,5,0)</f>
        <v>90.504960000000025</v>
      </c>
      <c r="AK26" s="13">
        <f t="shared" si="35"/>
        <v>24.686969501776463</v>
      </c>
      <c r="AL26" s="20">
        <f t="shared" si="4"/>
        <v>200.62594388226071</v>
      </c>
      <c r="AM26" s="59">
        <f t="shared" si="5"/>
        <v>493.95927721559406</v>
      </c>
      <c r="AN26" s="59">
        <f ca="1">AVERAGE(OFFSET($AM$3,0,0,'Données projet'!$E$10+1,1))-AVERAGE(OFFSET($H$3,0,0,'Données projet'!$E$10+1,1))</f>
        <v>191.94797389630673</v>
      </c>
      <c r="AO26" s="59">
        <f t="shared" si="36"/>
        <v>273.52540822767878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3.0449573973090698</v>
      </c>
      <c r="AW26" s="21">
        <f>EXP(-LN(2)/2)*AW25+(1-EXP(-LN(2)/2))/(LN(2)/2)*AQ26*AT26*VLOOKUP('Données projet'!$B$10,Paramètres!$A$1:$I$89,3,0)*0.475*44/12</f>
        <v>2.3313738024577408</v>
      </c>
      <c r="AX26" s="21">
        <f t="shared" si="6"/>
        <v>5.3763311997668106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11.1</v>
      </c>
      <c r="BD26" s="12">
        <f>IF('Données projet'!$A$88&gt;35,BD25+BC26-BL25,IF(A26&lt;'Données projet'!$A$88,$BA$205^A26,IF(A26='Données projet'!$A$88,'Données projet'!$B$88,BD25+BC26-BL25)))</f>
        <v>99.299999999999983</v>
      </c>
      <c r="BE26" s="13">
        <f>BD26*VLOOKUP('Données projet'!$B$11,Paramètres!$A$1:$I$89,3,0)*VLOOKUP('Données projet'!$B$11,Paramètres!$A$1:$I$89,5,0)</f>
        <v>61.963199999999986</v>
      </c>
      <c r="BF26" s="13">
        <f t="shared" si="37"/>
        <v>17.663693664183459</v>
      </c>
      <c r="BG26" s="20">
        <f t="shared" si="7"/>
        <v>138.68350646511951</v>
      </c>
      <c r="BH26" s="59">
        <f t="shared" si="8"/>
        <v>432.01683979845279</v>
      </c>
      <c r="BI26" s="59">
        <f ca="1">AVERAGE(OFFSET($BH$3,0,0,'Données projet'!$E$11+1,1))-AVERAGE(OFFSET($H$3,0,0,'Données projet'!$E$11+1,1))</f>
        <v>162.91481796710048</v>
      </c>
      <c r="BJ26" s="59">
        <f t="shared" si="38"/>
        <v>182.56192390367823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3.4141964172485415</v>
      </c>
      <c r="BR26" s="21">
        <f>EXP(-LN(2)/2)*BR25+(1-EXP(-LN(2)/2))/(LN(2)/2)*BL26*BO26*VLOOKUP('Données projet'!$B$11,Paramètres!$A$1:$I$89,3,0)*0.475*44/12</f>
        <v>1.8734253769749698</v>
      </c>
      <c r="BS26" s="22">
        <f t="shared" si="9"/>
        <v>5.2876217942235115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6.5</v>
      </c>
      <c r="BY26" s="12">
        <f>IF('Données projet'!$A$114&gt;35,BY25+BX26-CG25,IF(A26&lt;'Données projet'!$A$114,$BV$205^A26,IF(A26='Données projet'!$A$114,'Données projet'!$B$114,BY25+BX26-CG25)))</f>
        <v>127.6</v>
      </c>
      <c r="BZ26" s="13">
        <f>BY26*VLOOKUP('Données projet'!$B$12,Paramètres!$A$1:$I$89,3,0)*VLOOKUP('Données projet'!$B$12,Paramètres!$A$1:$I$89,5,0)</f>
        <v>59.716799999999992</v>
      </c>
      <c r="CA26" s="13">
        <f t="shared" si="39"/>
        <v>17.096647463151516</v>
      </c>
      <c r="CB26" s="20">
        <f t="shared" si="10"/>
        <v>133.78342099832221</v>
      </c>
      <c r="CC26" s="59">
        <f t="shared" si="11"/>
        <v>427.11675433165556</v>
      </c>
      <c r="CD26" s="59">
        <f ca="1">AVERAGE(OFFSET($CC$3,0,0,'Données projet'!$E$12+1,1))-AVERAGE(OFFSET($H$3,0,0,'Données projet'!$E$12+1,1))</f>
        <v>123.60520571614535</v>
      </c>
      <c r="CE26" s="59">
        <f t="shared" si="40"/>
        <v>119.00926870519527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1.0797396169548514</v>
      </c>
      <c r="CM26" s="21">
        <f>EXP(-LN(2)/2)*CM25+(1-EXP(-LN(2)/2))/(LN(2)/2)*CG26*CJ26*VLOOKUP('Données projet'!$B$12,Paramètres!$A$1:$I$89,3,0)*0.475*44/12</f>
        <v>0.64633175505636464</v>
      </c>
      <c r="CN26" s="22">
        <f t="shared" si="12"/>
        <v>1.7260713720112162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23.886414008811979</v>
      </c>
      <c r="CV26" s="13">
        <f t="shared" si="41"/>
        <v>7.6082758292363835</v>
      </c>
      <c r="CW26" s="20">
        <f t="shared" si="13"/>
        <v>54.853251467934228</v>
      </c>
      <c r="CX26" s="59">
        <f t="shared" si="14"/>
        <v>348.18658480126754</v>
      </c>
      <c r="CY26" s="59">
        <f ca="1">AVERAGE(OFFSET($CX$3,0,0,'Données projet'!$E$13+1,1))-AVERAGE(OFFSET($H$3,0,0,'Données projet'!$E$13+1,1))</f>
        <v>177.94336949486529</v>
      </c>
      <c r="CZ26" s="59">
        <f t="shared" si="42"/>
        <v>65.559373432574603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10.199999999999999</v>
      </c>
      <c r="DO26" s="12">
        <f>IF('Données projet'!$A$166&gt;35,DO25+DN26-DW25,IF(A26&lt;'Données projet'!$A$166,$DL$205^A26,IF(A26='Données projet'!$A$166,'Données projet'!$B$166,DO25+DN26-DW25)))</f>
        <v>92.600000000000009</v>
      </c>
      <c r="DP26" s="17">
        <f>DO26*VLOOKUP('Données projet'!$B$14,Paramètres!$A$1:$I$89,3,0)*VLOOKUP('Données projet'!$B$14,Paramètres!$A$1:$I$89,5,0)</f>
        <v>55.374800000000008</v>
      </c>
      <c r="DQ26" s="13">
        <f t="shared" si="43"/>
        <v>15.99346995700764</v>
      </c>
      <c r="DR26" s="20">
        <f t="shared" si="16"/>
        <v>124.29973684178829</v>
      </c>
      <c r="DS26" s="59">
        <f t="shared" si="17"/>
        <v>417.63307017512159</v>
      </c>
      <c r="DT26" s="59">
        <f ca="1">AVERAGE(OFFSET($DS$3,0,0,'Données projet'!$E$14+1,1))-AVERAGE(OFFSET($H$3,0,0,'Données projet'!$E$14+1,1))</f>
        <v>165.39579887388538</v>
      </c>
      <c r="DU26" s="59">
        <f t="shared" si="44"/>
        <v>155.89639262545802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19</v>
      </c>
      <c r="EJ26" s="12">
        <f>IF('Données projet'!$A$192&gt;35,EJ25+EI26-ER25,IF(A26&lt;'Données projet'!$A$192,$EG$205^A26,IF(A26='Données projet'!$A$192,'Données projet'!$B$192,EJ25+EI26-ER25)))</f>
        <v>127</v>
      </c>
      <c r="EK26" s="17">
        <f>EJ26*VLOOKUP('Données projet'!$B$15,Paramètres!$A$1:$I$89,3,0)*VLOOKUP('Données projet'!$B$15,Paramètres!$A$1:$I$89,5,0)</f>
        <v>61.087000000000003</v>
      </c>
      <c r="EL26" s="13">
        <f t="shared" si="45"/>
        <v>17.442808876624724</v>
      </c>
      <c r="EM26" s="20">
        <f t="shared" si="19"/>
        <v>136.77275046012139</v>
      </c>
      <c r="EN26" s="59">
        <f t="shared" si="20"/>
        <v>430.10608379345467</v>
      </c>
      <c r="EO26" s="59">
        <f ca="1">AVERAGE(OFFSET($EN$3,0,0,'Données projet'!$E$15+1,1))-AVERAGE(OFFSET($H$3,0,0,'Données projet'!$E$15+1,1))</f>
        <v>252.30925789500111</v>
      </c>
      <c r="EP26" s="59">
        <f t="shared" si="46"/>
        <v>213.96033794804805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19</v>
      </c>
      <c r="FE26" s="12">
        <f>IF('Données projet'!$A$218&gt;35,FE25+FD26-FM25,IF(A26&lt;'Données projet'!$A$218,$FB$205^A26,IF(A26='Données projet'!$A$218,'Données projet'!$B$218,FE25+FD26-FM25)))</f>
        <v>127</v>
      </c>
      <c r="FF26" s="17">
        <f>FE26*VLOOKUP('Données projet'!$B$16,Paramètres!$A$1:$I$89,3,0)*VLOOKUP('Données projet'!$B$16,Paramètres!$A$1:$I$89,5,0)</f>
        <v>61.087000000000003</v>
      </c>
      <c r="FG26" s="13">
        <f t="shared" si="47"/>
        <v>17.442808876624724</v>
      </c>
      <c r="FH26" s="20">
        <f t="shared" si="22"/>
        <v>136.77275046012139</v>
      </c>
      <c r="FI26" s="59">
        <f t="shared" si="23"/>
        <v>430.10608379345467</v>
      </c>
      <c r="FJ26" s="59">
        <f ca="1">AVERAGE(OFFSET($FI$3,0,0,'Données projet'!$E$16+1,1))-AVERAGE(OFFSET($H$3,0,0,'Données projet'!$E$16+1,1))</f>
        <v>252.30925789500111</v>
      </c>
      <c r="FK26" s="59">
        <f t="shared" si="48"/>
        <v>213.96033794804805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11</v>
      </c>
      <c r="FZ26" s="12">
        <f>IF('Données projet'!$A$244&gt;35,FZ25+FY26-GH25,IF(A26&lt;'Données projet'!$A$244,$FW$205^A26,IF(A26='Données projet'!$A$244,'Données projet'!$B$244,FZ25+FY26-GH25)))</f>
        <v>110</v>
      </c>
      <c r="GA26" s="17">
        <f>FZ26*VLOOKUP('Données projet'!$B$17,Paramètres!$A$1:$I$89,3,0)*VLOOKUP('Données projet'!$B$17,Paramètres!$A$1:$I$89,5,0)</f>
        <v>65.78</v>
      </c>
      <c r="GB26" s="13">
        <f t="shared" si="49"/>
        <v>18.621720661480644</v>
      </c>
      <c r="GC26" s="20">
        <f t="shared" si="25"/>
        <v>146.99966348541213</v>
      </c>
      <c r="GD26" s="59">
        <f t="shared" si="26"/>
        <v>440.33299681874541</v>
      </c>
      <c r="GE26" s="59">
        <f ca="1">AVERAGE(OFFSET($GD$3,0,0,'Données projet'!$E$17+1,1))-AVERAGE(OFFSET($H$3,0,0,'Données projet'!$E$17+1,1))</f>
        <v>117.54638373164624</v>
      </c>
      <c r="GF26" s="59">
        <f t="shared" si="50"/>
        <v>133.0740262536583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3.4617434629330277</v>
      </c>
      <c r="GN26" s="21">
        <f>EXP(-LN(2)/2)*GN25+(1-EXP(-LN(2)/2))/(LN(2)/2)*GH26*GK26*VLOOKUP('Données projet'!$B$17,Paramètres!$A$1:$I$89,3,0)*0.475*44/12</f>
        <v>1.9150570520188586</v>
      </c>
      <c r="GO26" s="21">
        <f t="shared" si="27"/>
        <v>5.3768005149518867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2.8421709430404007E-14</v>
      </c>
      <c r="GV26" s="17">
        <f>GU26*VLOOKUP('Données projet'!$B$18,Paramètres!$A$1:$I$89,3,0)*VLOOKUP('Données projet'!$B$18,Paramètres!$A$1:$I$89,5,0)</f>
        <v>1.3567387213697657E-14</v>
      </c>
      <c r="GW26" s="13">
        <f t="shared" si="51"/>
        <v>2.5717320947985821E-13</v>
      </c>
      <c r="GX26" s="20">
        <f t="shared" si="28"/>
        <v>4.7153987257460977E-13</v>
      </c>
      <c r="GY26" s="59">
        <f t="shared" si="29"/>
        <v>293.33333333333377</v>
      </c>
      <c r="GZ26" s="59">
        <f ca="1">AVERAGE(OFFSET($GY$3,0,0,'Données projet'!$E$18+1,1))-AVERAGE(OFFSET($H$3,0,0,'Données projet'!$E$18+1,1))</f>
        <v>43.147469606759159</v>
      </c>
      <c r="HA26" s="59">
        <f t="shared" si="52"/>
        <v>147.46995307968473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41.424418392850178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6.235883709798884</v>
      </c>
      <c r="HJ26" s="22">
        <f t="shared" si="30"/>
        <v>47.660302102649062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1.2</v>
      </c>
      <c r="N27" s="13">
        <f>IF('Données projet'!$A$36&gt;35,N26+M27-V26,IF(A27&lt;'Données projet'!$A$36,$K$205^A27,IF(A27='Données projet'!$A$36,'Données projet'!$B$36,N26+M27-V26)))</f>
        <v>26.184024853780567</v>
      </c>
      <c r="O27" s="13">
        <f>N27*VLOOKUP('Données projet'!$B$9,Paramètres!$A$1:$I$89,3,0)*VLOOKUP('Données projet'!$B$9,Paramètres!$A$1:$I$89,5,0)</f>
        <v>23.691305687700655</v>
      </c>
      <c r="P27" s="13">
        <f t="shared" si="33"/>
        <v>7.5533377044018843</v>
      </c>
      <c r="Q27" s="20">
        <f t="shared" si="2"/>
        <v>54.417753907911923</v>
      </c>
      <c r="R27" s="59">
        <f t="shared" si="0"/>
        <v>347.75108724124522</v>
      </c>
      <c r="S27" s="59">
        <f ca="1">AVERAGE(OFFSET($R$3,0,0,'Données projet'!$E$9+1,1))-AVERAGE(OFFSET($H$3,0,0,'Données projet'!$E$9+1,1))</f>
        <v>138.8931001150624</v>
      </c>
      <c r="T27" s="59">
        <f t="shared" si="34"/>
        <v>48.964659354096625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113.80000000000001</v>
      </c>
      <c r="AJ27" s="13">
        <f>AI27*VLOOKUP('Données projet'!$B$10,Paramètres!$A$1:$I$89,3,0)*VLOOKUP('Données projet'!$B$10,Paramètres!$A$1:$I$89,5,0)</f>
        <v>99.415680000000023</v>
      </c>
      <c r="AK27" s="13">
        <f t="shared" si="35"/>
        <v>26.822743922231254</v>
      </c>
      <c r="AL27" s="20">
        <f t="shared" si="4"/>
        <v>219.86525499788613</v>
      </c>
      <c r="AM27" s="59">
        <f t="shared" si="5"/>
        <v>513.19858833121941</v>
      </c>
      <c r="AN27" s="59">
        <f ca="1">AVERAGE(OFFSET($AM$3,0,0,'Données projet'!$E$10+1,1))-AVERAGE(OFFSET($H$3,0,0,'Données projet'!$E$10+1,1))</f>
        <v>191.94797389630673</v>
      </c>
      <c r="AO27" s="59">
        <f t="shared" si="36"/>
        <v>273.52540822767878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2.961692877152303</v>
      </c>
      <c r="AW27" s="21">
        <f>EXP(-LN(2)/2)*AW26+(1-EXP(-LN(2)/2))/(LN(2)/2)*AQ27*AT27*VLOOKUP('Données projet'!$B$10,Paramètres!$A$1:$I$89,3,0)*0.475*44/12</f>
        <v>1.6485302251985352</v>
      </c>
      <c r="AX27" s="21">
        <f t="shared" si="6"/>
        <v>4.6102231023508384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11.1</v>
      </c>
      <c r="BD27" s="12">
        <f>IF('Données projet'!$A$88&gt;35,BD26+BC27-BL26,IF(A27&lt;'Données projet'!$A$88,$BA$205^A27,IF(A27='Données projet'!$A$88,'Données projet'!$B$88,BD26+BC27-BL26)))</f>
        <v>110.39999999999998</v>
      </c>
      <c r="BE27" s="13">
        <f>BD27*VLOOKUP('Données projet'!$B$11,Paramètres!$A$1:$I$89,3,0)*VLOOKUP('Données projet'!$B$11,Paramètres!$A$1:$I$89,5,0)</f>
        <v>68.889599999999987</v>
      </c>
      <c r="BF27" s="13">
        <f t="shared" si="37"/>
        <v>19.397450021635805</v>
      </c>
      <c r="BG27" s="20">
        <f t="shared" si="7"/>
        <v>153.76661212101567</v>
      </c>
      <c r="BH27" s="59">
        <f t="shared" si="8"/>
        <v>447.09994545434898</v>
      </c>
      <c r="BI27" s="59">
        <f ca="1">AVERAGE(OFFSET($BH$3,0,0,'Données projet'!$E$11+1,1))-AVERAGE(OFFSET($H$3,0,0,'Données projet'!$E$11+1,1))</f>
        <v>162.91481796710048</v>
      </c>
      <c r="BJ27" s="59">
        <f t="shared" si="38"/>
        <v>182.56192390367823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3.3208350366740937</v>
      </c>
      <c r="BR27" s="21">
        <f>EXP(-LN(2)/2)*BR26+(1-EXP(-LN(2)/2))/(LN(2)/2)*BL27*BO27*VLOOKUP('Données projet'!$B$11,Paramètres!$A$1:$I$89,3,0)*0.475*44/12</f>
        <v>1.3247117881059653</v>
      </c>
      <c r="BS27" s="22">
        <f t="shared" si="9"/>
        <v>4.6455468247800589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6.5</v>
      </c>
      <c r="BY27" s="12">
        <f>IF('Données projet'!$A$114&gt;35,BY26+BX27-CG26,IF(A27&lt;'Données projet'!$A$114,$BV$205^A27,IF(A27='Données projet'!$A$114,'Données projet'!$B$114,BY26+BX27-CG26)))</f>
        <v>134.1</v>
      </c>
      <c r="BZ27" s="13">
        <f>BY27*VLOOKUP('Données projet'!$B$12,Paramètres!$A$1:$I$89,3,0)*VLOOKUP('Données projet'!$B$12,Paramètres!$A$1:$I$89,5,0)</f>
        <v>62.758800000000001</v>
      </c>
      <c r="CA27" s="13">
        <f t="shared" si="39"/>
        <v>17.863944827559084</v>
      </c>
      <c r="CB27" s="20">
        <f t="shared" si="10"/>
        <v>140.41794724133206</v>
      </c>
      <c r="CC27" s="59">
        <f t="shared" si="11"/>
        <v>433.75128057466537</v>
      </c>
      <c r="CD27" s="59">
        <f ca="1">AVERAGE(OFFSET($CC$3,0,0,'Données projet'!$E$12+1,1))-AVERAGE(OFFSET($H$3,0,0,'Données projet'!$E$12+1,1))</f>
        <v>123.60520571614535</v>
      </c>
      <c r="CE27" s="59">
        <f t="shared" si="40"/>
        <v>119.00926870519527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1.0502140803481823</v>
      </c>
      <c r="CM27" s="21">
        <f>EXP(-LN(2)/2)*CM26+(1-EXP(-LN(2)/2))/(LN(2)/2)*CG27*CJ27*VLOOKUP('Données projet'!$B$12,Paramètres!$A$1:$I$89,3,0)*0.475*44/12</f>
        <v>0.4570255668965581</v>
      </c>
      <c r="CN27" s="22">
        <f t="shared" si="12"/>
        <v>1.5072396472447405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27.367542777171455</v>
      </c>
      <c r="CV27" s="13">
        <f t="shared" si="41"/>
        <v>8.5801251530890958</v>
      </c>
      <c r="CW27" s="20">
        <f t="shared" si="13"/>
        <v>62.608854978537124</v>
      </c>
      <c r="CX27" s="59">
        <f t="shared" si="14"/>
        <v>355.94218831187044</v>
      </c>
      <c r="CY27" s="59">
        <f ca="1">AVERAGE(OFFSET($CX$3,0,0,'Données projet'!$E$13+1,1))-AVERAGE(OFFSET($H$3,0,0,'Données projet'!$E$13+1,1))</f>
        <v>177.94336949486529</v>
      </c>
      <c r="CZ27" s="59">
        <f t="shared" si="42"/>
        <v>65.559373432574603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10.199999999999999</v>
      </c>
      <c r="DO27" s="12">
        <f>IF('Données projet'!$A$166&gt;35,DO26+DN27-DW26,IF(A27&lt;'Données projet'!$A$166,$DL$205^A27,IF(A27='Données projet'!$A$166,'Données projet'!$B$166,DO26+DN27-DW26)))</f>
        <v>102.80000000000001</v>
      </c>
      <c r="DP27" s="17">
        <f>DO27*VLOOKUP('Données projet'!$B$14,Paramètres!$A$1:$I$89,3,0)*VLOOKUP('Données projet'!$B$14,Paramètres!$A$1:$I$89,5,0)</f>
        <v>61.47440000000001</v>
      </c>
      <c r="DQ27" s="13">
        <f t="shared" si="43"/>
        <v>17.540515274317094</v>
      </c>
      <c r="DR27" s="20">
        <f t="shared" si="16"/>
        <v>137.61764410276893</v>
      </c>
      <c r="DS27" s="59">
        <f t="shared" si="17"/>
        <v>430.95097743610222</v>
      </c>
      <c r="DT27" s="59">
        <f ca="1">AVERAGE(OFFSET($DS$3,0,0,'Données projet'!$E$14+1,1))-AVERAGE(OFFSET($H$3,0,0,'Données projet'!$E$14+1,1))</f>
        <v>165.39579887388538</v>
      </c>
      <c r="DU27" s="59">
        <f t="shared" si="44"/>
        <v>155.89639262545802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19</v>
      </c>
      <c r="EJ27" s="12">
        <f>IF('Données projet'!$A$192&gt;35,EJ26+EI27-ER26,IF(A27&lt;'Données projet'!$A$192,$EG$205^A27,IF(A27='Données projet'!$A$192,'Données projet'!$B$192,EJ26+EI27-ER26)))</f>
        <v>146</v>
      </c>
      <c r="EK27" s="17">
        <f>EJ27*VLOOKUP('Données projet'!$B$15,Paramètres!$A$1:$I$89,3,0)*VLOOKUP('Données projet'!$B$15,Paramètres!$A$1:$I$89,5,0)</f>
        <v>70.225999999999999</v>
      </c>
      <c r="EL27" s="13">
        <f t="shared" si="45"/>
        <v>19.729570803453036</v>
      </c>
      <c r="EM27" s="20">
        <f t="shared" si="19"/>
        <v>156.67261914934736</v>
      </c>
      <c r="EN27" s="59">
        <f t="shared" si="20"/>
        <v>450.00595248268064</v>
      </c>
      <c r="EO27" s="59">
        <f ca="1">AVERAGE(OFFSET($EN$3,0,0,'Données projet'!$E$15+1,1))-AVERAGE(OFFSET($H$3,0,0,'Données projet'!$E$15+1,1))</f>
        <v>252.30925789500111</v>
      </c>
      <c r="EP27" s="59">
        <f t="shared" si="46"/>
        <v>213.96033794804805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19</v>
      </c>
      <c r="FE27" s="12">
        <f>IF('Données projet'!$A$218&gt;35,FE26+FD27-FM26,IF(A27&lt;'Données projet'!$A$218,$FB$205^A27,IF(A27='Données projet'!$A$218,'Données projet'!$B$218,FE26+FD27-FM26)))</f>
        <v>146</v>
      </c>
      <c r="FF27" s="17">
        <f>FE27*VLOOKUP('Données projet'!$B$16,Paramètres!$A$1:$I$89,3,0)*VLOOKUP('Données projet'!$B$16,Paramètres!$A$1:$I$89,5,0)</f>
        <v>70.225999999999999</v>
      </c>
      <c r="FG27" s="13">
        <f t="shared" si="47"/>
        <v>19.729570803453036</v>
      </c>
      <c r="FH27" s="20">
        <f t="shared" si="22"/>
        <v>156.67261914934736</v>
      </c>
      <c r="FI27" s="59">
        <f t="shared" si="23"/>
        <v>450.00595248268064</v>
      </c>
      <c r="FJ27" s="59">
        <f ca="1">AVERAGE(OFFSET($FI$3,0,0,'Données projet'!$E$16+1,1))-AVERAGE(OFFSET($H$3,0,0,'Données projet'!$E$16+1,1))</f>
        <v>252.30925789500111</v>
      </c>
      <c r="FK27" s="59">
        <f t="shared" si="48"/>
        <v>213.96033794804805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>
        <f>VLOOKUP(A27,'Données projet'!$A$243:$I$263,2,0)</f>
        <v>121</v>
      </c>
      <c r="FX27" s="12">
        <f>VLOOKUP(A27,'Données projet'!$A$243:$I$263,9,0)</f>
        <v>11</v>
      </c>
      <c r="FY27" s="12">
        <f t="array" ref="FY27">INDEX(FX:FX,MIN(IF(ISNUMBER(FX27:FX223),ROW(FX27:FX223),"")))</f>
        <v>11</v>
      </c>
      <c r="FZ27" s="12">
        <f>IF('Données projet'!$A$244&gt;35,FZ26+FY27-GH26,IF(A27&lt;'Données projet'!$A$244,$FW$205^A27,IF(A27='Données projet'!$A$244,'Données projet'!$B$244,FZ26+FY27-GH26)))</f>
        <v>121</v>
      </c>
      <c r="GA27" s="17">
        <f>FZ27*VLOOKUP('Données projet'!$B$17,Paramètres!$A$1:$I$89,3,0)*VLOOKUP('Données projet'!$B$17,Paramètres!$A$1:$I$89,5,0)</f>
        <v>72.358000000000004</v>
      </c>
      <c r="GB27" s="13">
        <f t="shared" si="49"/>
        <v>20.257898193815318</v>
      </c>
      <c r="GC27" s="20">
        <f t="shared" si="25"/>
        <v>161.30602268756169</v>
      </c>
      <c r="GD27" s="59">
        <f t="shared" si="26"/>
        <v>454.63935602089498</v>
      </c>
      <c r="GE27" s="59">
        <f ca="1">AVERAGE(OFFSET($GD$3,0,0,'Données projet'!$E$17+1,1))-AVERAGE(OFFSET($H$3,0,0,'Données projet'!$E$17+1,1))</f>
        <v>117.54638373164624</v>
      </c>
      <c r="GF27" s="59">
        <f t="shared" si="50"/>
        <v>133.0740262536583</v>
      </c>
      <c r="GG27" s="15">
        <f>IF(ISNA(VLOOKUP(A27,'Données projet'!$A$243:$I$263,3,0)),0,VLOOKUP(A27,'Données projet'!$A$243:$I$263,3,0))</f>
        <v>3</v>
      </c>
      <c r="GH27" s="15">
        <f>IF(ISNA(VLOOKUP(A27,'Données projet'!$A$243:$I$263,4,0)),0,VLOOKUP(A27,'Données projet'!$A$243:$I$263,4,0))</f>
        <v>20</v>
      </c>
      <c r="GI27" s="16">
        <f>IF(ISNA(VLOOKUP(A27,'Données projet'!$A$243:$I$263,5,0)),0%,VLOOKUP(A27,'Données projet'!$A$243:$I$263,5,0)*VLOOKUP('Données projet'!$B$17,Paramètres!$A$1:$I$89,7,0))</f>
        <v>4.5000000000000005E-2</v>
      </c>
      <c r="GJ27" s="16">
        <f>IF(ISNA(VLOOKUP(A27,'Données projet'!$A$243:$I$263,6,0)),0%,VLOOKUP(A27,'Données projet'!$A$243:$I$263,6,0)*VLOOKUP('Données projet'!$B$17,Paramètres!$A$1:$I$89,7,0))</f>
        <v>0.20250000000000001</v>
      </c>
      <c r="GK27" s="16">
        <f>IF(ISNA(VLOOKUP(A27,'Données projet'!$A$243:$I$263,7,0)),0%,VLOOKUP(A27,'Données projet'!$A$243:$I$263,7,0))</f>
        <v>0.45</v>
      </c>
      <c r="GL27" s="21">
        <f>EXP(-LN(2)/35)*GL26+(1-EXP(-LN(2)/35))/(LN(2)/35)*GH27*GI27*VLOOKUP('Données projet'!$B$17,Paramètres!$A$1:$I$89,3,0)*0.475*44/12</f>
        <v>0.71395698991756051</v>
      </c>
      <c r="GM27" s="21">
        <f>EXP(-LN(2)/25)*GM26+(1-EXP(-LN(2)/25))/(LN(2)/25)*Calculateur!GH27*Calculateur!GJ27*VLOOKUP('Données projet'!$B$17,Paramètres!$A$1:$I$89,3,0)*0.475*44/12</f>
        <v>6.5672383173358622</v>
      </c>
      <c r="GN27" s="21">
        <f>EXP(-LN(2)/2)*GN26+(1-EXP(-LN(2)/2))/(LN(2)/2)*GH27*GK27*VLOOKUP('Données projet'!$B$17,Paramètres!$A$1:$I$89,3,0)*0.475*44/12</f>
        <v>7.4478240531290929</v>
      </c>
      <c r="GO27" s="21">
        <f t="shared" si="27"/>
        <v>14.729019360382516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2.8421709430404007E-14</v>
      </c>
      <c r="GV27" s="17">
        <f>GU27*VLOOKUP('Données projet'!$B$18,Paramètres!$A$1:$I$89,3,0)*VLOOKUP('Données projet'!$B$18,Paramètres!$A$1:$I$89,5,0)</f>
        <v>1.3567387213697657E-14</v>
      </c>
      <c r="GW27" s="13">
        <f t="shared" si="51"/>
        <v>2.5717320947985821E-13</v>
      </c>
      <c r="GX27" s="20">
        <f t="shared" si="28"/>
        <v>4.7153987257460977E-13</v>
      </c>
      <c r="GY27" s="59">
        <f t="shared" si="29"/>
        <v>293.33333333333377</v>
      </c>
      <c r="GZ27" s="59">
        <f ca="1">AVERAGE(OFFSET($GY$3,0,0,'Données projet'!$E$18+1,1))-AVERAGE(OFFSET($H$3,0,0,'Données projet'!$E$18+1,1))</f>
        <v>43.147469606759159</v>
      </c>
      <c r="HA27" s="59">
        <f t="shared" si="52"/>
        <v>147.46995307968473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40.612110814566755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4.4094356578895155</v>
      </c>
      <c r="HJ27" s="22">
        <f t="shared" si="30"/>
        <v>45.021546472456272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30</v>
      </c>
      <c r="L28" s="12">
        <f>VLOOKUP(A28,'Données projet'!$A$35:$I$55,9,0)</f>
        <v>1.2</v>
      </c>
      <c r="M28" s="12">
        <f t="array" ref="M28">INDEX(L:L,MIN(IF(ISNUMBER(L28:L224),ROW(L28:L224),"")))</f>
        <v>1.2</v>
      </c>
      <c r="N28" s="13">
        <f>IF('Données projet'!$A$36&gt;35,N27+M28-V27,IF(A28&lt;'Données projet'!$A$36,$K$205^A28,IF(A28='Données projet'!$A$36,'Données projet'!$B$36,N27+M28-V27)))</f>
        <v>30</v>
      </c>
      <c r="O28" s="13">
        <f>N28*VLOOKUP('Données projet'!$B$9,Paramètres!$A$1:$I$89,3,0)*VLOOKUP('Données projet'!$B$9,Paramètres!$A$1:$I$89,5,0)</f>
        <v>27.143999999999998</v>
      </c>
      <c r="P28" s="13">
        <f t="shared" si="33"/>
        <v>8.5181694620316346</v>
      </c>
      <c r="Q28" s="20">
        <f t="shared" si="2"/>
        <v>62.111611813038422</v>
      </c>
      <c r="R28" s="59">
        <f t="shared" si="0"/>
        <v>355.44494514637177</v>
      </c>
      <c r="S28" s="59">
        <f ca="1">AVERAGE(OFFSET($R$3,0,0,'Données projet'!$E$9+1,1))-AVERAGE(OFFSET($H$3,0,0,'Données projet'!$E$9+1,1))</f>
        <v>138.8931001150624</v>
      </c>
      <c r="T28" s="59">
        <f t="shared" si="34"/>
        <v>48.964659354096625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124.00000000000001</v>
      </c>
      <c r="AJ28" s="13">
        <f>AI28*VLOOKUP('Données projet'!$B$10,Paramètres!$A$1:$I$89,3,0)*VLOOKUP('Données projet'!$B$10,Paramètres!$A$1:$I$89,5,0)</f>
        <v>108.32640000000002</v>
      </c>
      <c r="AK28" s="13">
        <f t="shared" si="35"/>
        <v>28.936320206966883</v>
      </c>
      <c r="AL28" s="20">
        <f t="shared" si="4"/>
        <v>239.06590436046736</v>
      </c>
      <c r="AM28" s="59">
        <f t="shared" si="5"/>
        <v>532.39923769380061</v>
      </c>
      <c r="AN28" s="59">
        <f ca="1">AVERAGE(OFFSET($AM$3,0,0,'Données projet'!$E$10+1,1))-AVERAGE(OFFSET($H$3,0,0,'Données projet'!$E$10+1,1))</f>
        <v>191.94797389630673</v>
      </c>
      <c r="AO28" s="59">
        <f t="shared" si="36"/>
        <v>273.52540822767878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2.8807052296779139</v>
      </c>
      <c r="AW28" s="21">
        <f>EXP(-LN(2)/2)*AW27+(1-EXP(-LN(2)/2))/(LN(2)/2)*AQ28*AT28*VLOOKUP('Données projet'!$B$10,Paramètres!$A$1:$I$89,3,0)*0.475*44/12</f>
        <v>1.1656869012288706</v>
      </c>
      <c r="AX28" s="21">
        <f t="shared" si="6"/>
        <v>4.046392130906785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11.1</v>
      </c>
      <c r="BD28" s="12">
        <f>IF('Données projet'!$A$88&gt;35,BD27+BC28-BL27,IF(A28&lt;'Données projet'!$A$88,$BA$205^A28,IF(A28='Données projet'!$A$88,'Données projet'!$B$88,BD27+BC28-BL27)))</f>
        <v>121.49999999999997</v>
      </c>
      <c r="BE28" s="13">
        <f>BD28*VLOOKUP('Données projet'!$B$11,Paramètres!$A$1:$I$89,3,0)*VLOOKUP('Données projet'!$B$11,Paramètres!$A$1:$I$89,5,0)</f>
        <v>75.815999999999988</v>
      </c>
      <c r="BF28" s="13">
        <f t="shared" si="37"/>
        <v>21.110998140607162</v>
      </c>
      <c r="BG28" s="20">
        <f t="shared" si="7"/>
        <v>168.81452176155747</v>
      </c>
      <c r="BH28" s="59">
        <f t="shared" si="8"/>
        <v>462.14785509489082</v>
      </c>
      <c r="BI28" s="59">
        <f ca="1">AVERAGE(OFFSET($BH$3,0,0,'Données projet'!$E$11+1,1))-AVERAGE(OFFSET($H$3,0,0,'Données projet'!$E$11+1,1))</f>
        <v>162.91481796710048</v>
      </c>
      <c r="BJ28" s="59">
        <f t="shared" si="38"/>
        <v>182.56192390367823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3.2300266279611161</v>
      </c>
      <c r="BR28" s="21">
        <f>EXP(-LN(2)/2)*BR27+(1-EXP(-LN(2)/2))/(LN(2)/2)*BL28*BO28*VLOOKUP('Données projet'!$B$11,Paramètres!$A$1:$I$89,3,0)*0.475*44/12</f>
        <v>0.93671268848748501</v>
      </c>
      <c r="BS28" s="22">
        <f t="shared" si="9"/>
        <v>4.1667393164486013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6.5</v>
      </c>
      <c r="BY28" s="12">
        <f>IF('Données projet'!$A$114&gt;35,BY27+BX28-CG27,IF(A28&lt;'Données projet'!$A$114,$BV$205^A28,IF(A28='Données projet'!$A$114,'Données projet'!$B$114,BY27+BX28-CG27)))</f>
        <v>140.6</v>
      </c>
      <c r="BZ28" s="13">
        <f>BY28*VLOOKUP('Données projet'!$B$12,Paramètres!$A$1:$I$89,3,0)*VLOOKUP('Données projet'!$B$12,Paramètres!$A$1:$I$89,5,0)</f>
        <v>65.800799999999995</v>
      </c>
      <c r="CA28" s="13">
        <f t="shared" si="39"/>
        <v>18.626923459774289</v>
      </c>
      <c r="CB28" s="20">
        <f t="shared" si="10"/>
        <v>147.04495169244021</v>
      </c>
      <c r="CC28" s="59">
        <f t="shared" si="11"/>
        <v>440.37828502577349</v>
      </c>
      <c r="CD28" s="59">
        <f ca="1">AVERAGE(OFFSET($CC$3,0,0,'Données projet'!$E$12+1,1))-AVERAGE(OFFSET($H$3,0,0,'Données projet'!$E$12+1,1))</f>
        <v>123.60520571614535</v>
      </c>
      <c r="CE28" s="59">
        <f t="shared" si="40"/>
        <v>119.00926870519527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1.021495921092703</v>
      </c>
      <c r="CM28" s="21">
        <f>EXP(-LN(2)/2)*CM27+(1-EXP(-LN(2)/2))/(LN(2)/2)*CG28*CJ28*VLOOKUP('Données projet'!$B$12,Paramètres!$A$1:$I$89,3,0)*0.475*44/12</f>
        <v>0.32316587752818238</v>
      </c>
      <c r="CN28" s="22">
        <f t="shared" si="12"/>
        <v>1.3446617986208853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31.356000000000002</v>
      </c>
      <c r="CV28" s="13">
        <f t="shared" si="41"/>
        <v>9.6761144436663891</v>
      </c>
      <c r="CW28" s="20">
        <f t="shared" si="13"/>
        <v>71.464265989385623</v>
      </c>
      <c r="CX28" s="59">
        <f t="shared" si="14"/>
        <v>364.79759932271895</v>
      </c>
      <c r="CY28" s="59">
        <f ca="1">AVERAGE(OFFSET($CX$3,0,0,'Données projet'!$E$13+1,1))-AVERAGE(OFFSET($H$3,0,0,'Données projet'!$E$13+1,1))</f>
        <v>177.94336949486529</v>
      </c>
      <c r="CZ28" s="59">
        <f t="shared" si="42"/>
        <v>65.559373432574603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10.199999999999999</v>
      </c>
      <c r="DO28" s="12">
        <f>IF('Données projet'!$A$166&gt;35,DO27+DN28-DW27,IF(A28&lt;'Données projet'!$A$166,$DL$205^A28,IF(A28='Données projet'!$A$166,'Données projet'!$B$166,DO27+DN28-DW27)))</f>
        <v>113.00000000000001</v>
      </c>
      <c r="DP28" s="17">
        <f>DO28*VLOOKUP('Données projet'!$B$14,Paramètres!$A$1:$I$89,3,0)*VLOOKUP('Données projet'!$B$14,Paramètres!$A$1:$I$89,5,0)</f>
        <v>67.574000000000012</v>
      </c>
      <c r="DQ28" s="13">
        <f t="shared" si="43"/>
        <v>19.069765110231607</v>
      </c>
      <c r="DR28" s="20">
        <f t="shared" si="16"/>
        <v>150.90455756698671</v>
      </c>
      <c r="DS28" s="59">
        <f t="shared" si="17"/>
        <v>444.23789090032005</v>
      </c>
      <c r="DT28" s="59">
        <f ca="1">AVERAGE(OFFSET($DS$3,0,0,'Données projet'!$E$14+1,1))-AVERAGE(OFFSET($H$3,0,0,'Données projet'!$E$14+1,1))</f>
        <v>165.39579887388538</v>
      </c>
      <c r="DU28" s="59">
        <f t="shared" si="44"/>
        <v>155.89639262545802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19</v>
      </c>
      <c r="EJ28" s="12">
        <f>IF('Données projet'!$A$192&gt;35,EJ27+EI28-ER27,IF(A28&lt;'Données projet'!$A$192,$EG$205^A28,IF(A28='Données projet'!$A$192,'Données projet'!$B$192,EJ27+EI28-ER27)))</f>
        <v>165</v>
      </c>
      <c r="EK28" s="17">
        <f>EJ28*VLOOKUP('Données projet'!$B$15,Paramètres!$A$1:$I$89,3,0)*VLOOKUP('Données projet'!$B$15,Paramètres!$A$1:$I$89,5,0)</f>
        <v>79.364999999999995</v>
      </c>
      <c r="EL28" s="13">
        <f t="shared" si="45"/>
        <v>21.981851390063195</v>
      </c>
      <c r="EM28" s="20">
        <f t="shared" si="19"/>
        <v>176.51243283769338</v>
      </c>
      <c r="EN28" s="59">
        <f t="shared" si="20"/>
        <v>469.8457661710267</v>
      </c>
      <c r="EO28" s="59">
        <f ca="1">AVERAGE(OFFSET($EN$3,0,0,'Données projet'!$E$15+1,1))-AVERAGE(OFFSET($H$3,0,0,'Données projet'!$E$15+1,1))</f>
        <v>252.30925789500111</v>
      </c>
      <c r="EP28" s="59">
        <f t="shared" si="46"/>
        <v>213.96033794804805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19</v>
      </c>
      <c r="FE28" s="12">
        <f>IF('Données projet'!$A$218&gt;35,FE27+FD28-FM27,IF(A28&lt;'Données projet'!$A$218,$FB$205^A28,IF(A28='Données projet'!$A$218,'Données projet'!$B$218,FE27+FD28-FM27)))</f>
        <v>165</v>
      </c>
      <c r="FF28" s="17">
        <f>FE28*VLOOKUP('Données projet'!$B$16,Paramètres!$A$1:$I$89,3,0)*VLOOKUP('Données projet'!$B$16,Paramètres!$A$1:$I$89,5,0)</f>
        <v>79.364999999999995</v>
      </c>
      <c r="FG28" s="13">
        <f t="shared" si="47"/>
        <v>21.981851390063195</v>
      </c>
      <c r="FH28" s="20">
        <f t="shared" si="22"/>
        <v>176.51243283769338</v>
      </c>
      <c r="FI28" s="59">
        <f t="shared" si="23"/>
        <v>469.8457661710267</v>
      </c>
      <c r="FJ28" s="59">
        <f ca="1">AVERAGE(OFFSET($FI$3,0,0,'Données projet'!$E$16+1,1))-AVERAGE(OFFSET($H$3,0,0,'Données projet'!$E$16+1,1))</f>
        <v>252.30925789500111</v>
      </c>
      <c r="FK28" s="59">
        <f t="shared" si="48"/>
        <v>213.96033794804805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11.25</v>
      </c>
      <c r="FZ28" s="12">
        <f>IF('Données projet'!$A$244&gt;35,FZ27+FY28-GH27,IF(A28&lt;'Données projet'!$A$244,$FW$205^A28,IF(A28='Données projet'!$A$244,'Données projet'!$B$244,FZ27+FY28-GH27)))</f>
        <v>112.25</v>
      </c>
      <c r="GA28" s="17">
        <f>FZ28*VLOOKUP('Données projet'!$B$17,Paramètres!$A$1:$I$89,3,0)*VLOOKUP('Données projet'!$B$17,Paramètres!$A$1:$I$89,5,0)</f>
        <v>67.125500000000002</v>
      </c>
      <c r="GB28" s="13">
        <f t="shared" si="49"/>
        <v>18.957885224346715</v>
      </c>
      <c r="GC28" s="20">
        <f t="shared" si="25"/>
        <v>149.92856259907052</v>
      </c>
      <c r="GD28" s="59">
        <f t="shared" si="26"/>
        <v>443.26189593240383</v>
      </c>
      <c r="GE28" s="59">
        <f ca="1">AVERAGE(OFFSET($GD$3,0,0,'Données projet'!$E$17+1,1))-AVERAGE(OFFSET($H$3,0,0,'Données projet'!$E$17+1,1))</f>
        <v>117.54638373164624</v>
      </c>
      <c r="GF28" s="59">
        <f t="shared" si="50"/>
        <v>133.0740262536583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0.69995672881604187</v>
      </c>
      <c r="GM28" s="21">
        <f>EXP(-LN(2)/25)*GM27+(1-EXP(-LN(2)/25))/(LN(2)/25)*Calculateur!GH28*Calculateur!GJ28*VLOOKUP('Données projet'!$B$17,Paramètres!$A$1:$I$89,3,0)*0.475*44/12</f>
        <v>6.3876568401922595</v>
      </c>
      <c r="GN28" s="21">
        <f>EXP(-LN(2)/2)*GN27+(1-EXP(-LN(2)/2))/(LN(2)/2)*GH28*GK28*VLOOKUP('Données projet'!$B$17,Paramètres!$A$1:$I$89,3,0)*0.475*44/12</f>
        <v>5.2664068930518591</v>
      </c>
      <c r="GO28" s="21">
        <f t="shared" si="27"/>
        <v>12.354020462060159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2.8421709430404007E-14</v>
      </c>
      <c r="GV28" s="17">
        <f>GU28*VLOOKUP('Données projet'!$B$18,Paramètres!$A$1:$I$89,3,0)*VLOOKUP('Données projet'!$B$18,Paramètres!$A$1:$I$89,5,0)</f>
        <v>1.3567387213697657E-14</v>
      </c>
      <c r="GW28" s="13">
        <f t="shared" si="51"/>
        <v>2.5717320947985821E-13</v>
      </c>
      <c r="GX28" s="20">
        <f t="shared" si="28"/>
        <v>4.7153987257460977E-13</v>
      </c>
      <c r="GY28" s="59">
        <f t="shared" si="29"/>
        <v>293.33333333333377</v>
      </c>
      <c r="GZ28" s="59">
        <f ca="1">AVERAGE(OFFSET($GY$3,0,0,'Données projet'!$E$18+1,1))-AVERAGE(OFFSET($H$3,0,0,'Données projet'!$E$18+1,1))</f>
        <v>43.147469606759159</v>
      </c>
      <c r="HA28" s="59">
        <f t="shared" si="52"/>
        <v>147.46995307968473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39.815732092434772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3.117941854899442</v>
      </c>
      <c r="HJ28" s="22">
        <f t="shared" si="30"/>
        <v>42.933673947334213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4.8</v>
      </c>
      <c r="N29" s="13">
        <f>IF('Données projet'!$A$36&gt;35,N28+M29-V28,IF(A29&lt;'Données projet'!$A$36,$K$205^A29,IF(A29='Données projet'!$A$36,'Données projet'!$B$36,N28+M29-V28)))</f>
        <v>34.799999999999997</v>
      </c>
      <c r="O29" s="13">
        <f>N29*VLOOKUP('Données projet'!$B$9,Paramètres!$A$1:$I$89,3,0)*VLOOKUP('Données projet'!$B$9,Paramètres!$A$1:$I$89,5,0)</f>
        <v>31.487039999999997</v>
      </c>
      <c r="P29" s="13">
        <f t="shared" si="33"/>
        <v>9.7118363356135369</v>
      </c>
      <c r="Q29" s="20">
        <f t="shared" si="2"/>
        <v>71.754709617860229</v>
      </c>
      <c r="R29" s="59">
        <f t="shared" si="0"/>
        <v>365.08804295119353</v>
      </c>
      <c r="S29" s="59">
        <f ca="1">AVERAGE(OFFSET($R$3,0,0,'Données projet'!$E$9+1,1))-AVERAGE(OFFSET($H$3,0,0,'Données projet'!$E$9+1,1))</f>
        <v>138.8931001150624</v>
      </c>
      <c r="T29" s="59">
        <f t="shared" si="34"/>
        <v>48.964659354096625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10.199999999999999</v>
      </c>
      <c r="AI29" s="13">
        <f>IF('Données projet'!$A$62&gt;35,AI28+AH29-AQ28,IF(A29&lt;'Données projet'!$A$62,$AF$205^A29,IF(A29='Données projet'!$A$62,'Données projet'!$B$62,AI28+AH29-AQ28)))</f>
        <v>134.20000000000002</v>
      </c>
      <c r="AJ29" s="13">
        <f>AI29*VLOOKUP('Données projet'!$B$10,Paramètres!$A$1:$I$89,3,0)*VLOOKUP('Données projet'!$B$10,Paramètres!$A$1:$I$89,5,0)</f>
        <v>117.23712000000003</v>
      </c>
      <c r="AK29" s="13">
        <f t="shared" si="35"/>
        <v>31.029731926851252</v>
      </c>
      <c r="AL29" s="20">
        <f t="shared" si="4"/>
        <v>258.2314337725993</v>
      </c>
      <c r="AM29" s="59">
        <f t="shared" si="5"/>
        <v>551.56476710593256</v>
      </c>
      <c r="AN29" s="59">
        <f ca="1">AVERAGE(OFFSET($AM$3,0,0,'Données projet'!$E$10+1,1))-AVERAGE(OFFSET($H$3,0,0,'Données projet'!$E$10+1,1))</f>
        <v>191.94797389630673</v>
      </c>
      <c r="AO29" s="59">
        <f t="shared" si="36"/>
        <v>273.52540822767878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2.8019321936826671</v>
      </c>
      <c r="AW29" s="21">
        <f>EXP(-LN(2)/2)*AW28+(1-EXP(-LN(2)/2))/(LN(2)/2)*AQ29*AT29*VLOOKUP('Données projet'!$B$10,Paramètres!$A$1:$I$89,3,0)*0.475*44/12</f>
        <v>0.82426511259926771</v>
      </c>
      <c r="AX29" s="21">
        <f t="shared" si="6"/>
        <v>3.6261973062819348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11.1</v>
      </c>
      <c r="BD29" s="12">
        <f>IF('Données projet'!$A$88&gt;35,BD28+BC29-BL28,IF(A29&lt;'Données projet'!$A$88,$BA$205^A29,IF(A29='Données projet'!$A$88,'Données projet'!$B$88,BD28+BC29-BL28)))</f>
        <v>132.59999999999997</v>
      </c>
      <c r="BE29" s="13">
        <f>BD29*VLOOKUP('Données projet'!$B$11,Paramètres!$A$1:$I$89,3,0)*VLOOKUP('Données projet'!$B$11,Paramètres!$A$1:$I$89,5,0)</f>
        <v>82.742399999999975</v>
      </c>
      <c r="BF29" s="13">
        <f t="shared" si="37"/>
        <v>22.806394174303183</v>
      </c>
      <c r="BG29" s="20">
        <f t="shared" si="7"/>
        <v>183.83081652024464</v>
      </c>
      <c r="BH29" s="59">
        <f t="shared" si="8"/>
        <v>477.16414985357795</v>
      </c>
      <c r="BI29" s="59">
        <f ca="1">AVERAGE(OFFSET($BH$3,0,0,'Données projet'!$E$11+1,1))-AVERAGE(OFFSET($H$3,0,0,'Données projet'!$E$11+1,1))</f>
        <v>162.91481796710048</v>
      </c>
      <c r="BJ29" s="59">
        <f t="shared" si="38"/>
        <v>182.56192390367823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3.1417013799598013</v>
      </c>
      <c r="BR29" s="21">
        <f>EXP(-LN(2)/2)*BR28+(1-EXP(-LN(2)/2))/(LN(2)/2)*BL29*BO29*VLOOKUP('Données projet'!$B$11,Paramètres!$A$1:$I$89,3,0)*0.475*44/12</f>
        <v>0.66235589405298279</v>
      </c>
      <c r="BS29" s="22">
        <f t="shared" si="9"/>
        <v>3.8040572740127843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6.5</v>
      </c>
      <c r="BY29" s="12">
        <f>IF('Données projet'!$A$114&gt;35,BY28+BX29-CG28,IF(A29&lt;'Données projet'!$A$114,$BV$205^A29,IF(A29='Données projet'!$A$114,'Données projet'!$B$114,BY28+BX29-CG28)))</f>
        <v>147.1</v>
      </c>
      <c r="BZ29" s="13">
        <f>BY29*VLOOKUP('Données projet'!$B$12,Paramètres!$A$1:$I$89,3,0)*VLOOKUP('Données projet'!$B$12,Paramètres!$A$1:$I$89,5,0)</f>
        <v>68.842799999999997</v>
      </c>
      <c r="CA29" s="13">
        <f t="shared" si="39"/>
        <v>19.385805820089459</v>
      </c>
      <c r="CB29" s="20">
        <f t="shared" si="10"/>
        <v>153.66482180332244</v>
      </c>
      <c r="CC29" s="59">
        <f t="shared" si="11"/>
        <v>446.99815513665578</v>
      </c>
      <c r="CD29" s="59">
        <f ca="1">AVERAGE(OFFSET($CC$3,0,0,'Données projet'!$E$12+1,1))-AVERAGE(OFFSET($H$3,0,0,'Données projet'!$E$12+1,1))</f>
        <v>123.60520571614535</v>
      </c>
      <c r="CE29" s="59">
        <f t="shared" si="40"/>
        <v>119.00926870519527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0.99356306141228723</v>
      </c>
      <c r="CM29" s="21">
        <f>EXP(-LN(2)/2)*CM28+(1-EXP(-LN(2)/2))/(LN(2)/2)*CG29*CJ29*VLOOKUP('Données projet'!$B$12,Paramètres!$A$1:$I$89,3,0)*0.475*44/12</f>
        <v>0.22851278344827908</v>
      </c>
      <c r="CN29" s="22">
        <f t="shared" si="12"/>
        <v>1.2220758448605662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36.372959999999999</v>
      </c>
      <c r="CV29" s="13">
        <f t="shared" si="41"/>
        <v>11.032046293563772</v>
      </c>
      <c r="CW29" s="20">
        <f t="shared" si="13"/>
        <v>82.563719294623567</v>
      </c>
      <c r="CX29" s="59">
        <f t="shared" si="14"/>
        <v>375.8970526279569</v>
      </c>
      <c r="CY29" s="59">
        <f ca="1">AVERAGE(OFFSET($CX$3,0,0,'Données projet'!$E$13+1,1))-AVERAGE(OFFSET($H$3,0,0,'Données projet'!$E$13+1,1))</f>
        <v>177.94336949486529</v>
      </c>
      <c r="CZ29" s="59">
        <f t="shared" si="42"/>
        <v>65.559373432574603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10.199999999999999</v>
      </c>
      <c r="DO29" s="12">
        <f>IF('Données projet'!$A$166&gt;35,DO28+DN29-DW28,IF(A29&lt;'Données projet'!$A$166,$DL$205^A29,IF(A29='Données projet'!$A$166,'Données projet'!$B$166,DO28+DN29-DW28)))</f>
        <v>123.20000000000002</v>
      </c>
      <c r="DP29" s="17">
        <f>DO29*VLOOKUP('Données projet'!$B$14,Paramètres!$A$1:$I$89,3,0)*VLOOKUP('Données projet'!$B$14,Paramètres!$A$1:$I$89,5,0)</f>
        <v>73.673600000000022</v>
      </c>
      <c r="DQ29" s="13">
        <f t="shared" si="43"/>
        <v>20.583008456666128</v>
      </c>
      <c r="DR29" s="20">
        <f t="shared" si="16"/>
        <v>164.16359306202688</v>
      </c>
      <c r="DS29" s="59">
        <f t="shared" si="17"/>
        <v>457.49692639536022</v>
      </c>
      <c r="DT29" s="59">
        <f ca="1">AVERAGE(OFFSET($DS$3,0,0,'Données projet'!$E$14+1,1))-AVERAGE(OFFSET($H$3,0,0,'Données projet'!$E$14+1,1))</f>
        <v>165.39579887388538</v>
      </c>
      <c r="DU29" s="59">
        <f t="shared" si="44"/>
        <v>155.89639262545802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19</v>
      </c>
      <c r="EJ29" s="12">
        <f>IF('Données projet'!$A$192&gt;35,EJ28+EI29-ER28,IF(A29&lt;'Données projet'!$A$192,$EG$205^A29,IF(A29='Données projet'!$A$192,'Données projet'!$B$192,EJ28+EI29-ER28)))</f>
        <v>184</v>
      </c>
      <c r="EK29" s="17">
        <f>EJ29*VLOOKUP('Données projet'!$B$15,Paramètres!$A$1:$I$89,3,0)*VLOOKUP('Données projet'!$B$15,Paramètres!$A$1:$I$89,5,0)</f>
        <v>88.504000000000005</v>
      </c>
      <c r="EL29" s="13">
        <f t="shared" si="45"/>
        <v>24.204074597328468</v>
      </c>
      <c r="EM29" s="20">
        <f t="shared" si="19"/>
        <v>196.29989659034709</v>
      </c>
      <c r="EN29" s="59">
        <f t="shared" si="20"/>
        <v>489.6332299236804</v>
      </c>
      <c r="EO29" s="59">
        <f ca="1">AVERAGE(OFFSET($EN$3,0,0,'Données projet'!$E$15+1,1))-AVERAGE(OFFSET($H$3,0,0,'Données projet'!$E$15+1,1))</f>
        <v>252.30925789500111</v>
      </c>
      <c r="EP29" s="59">
        <f t="shared" si="46"/>
        <v>213.96033794804805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19</v>
      </c>
      <c r="FE29" s="12">
        <f>IF('Données projet'!$A$218&gt;35,FE28+FD29-FM28,IF(A29&lt;'Données projet'!$A$218,$FB$205^A29,IF(A29='Données projet'!$A$218,'Données projet'!$B$218,FE28+FD29-FM28)))</f>
        <v>184</v>
      </c>
      <c r="FF29" s="17">
        <f>FE29*VLOOKUP('Données projet'!$B$16,Paramètres!$A$1:$I$89,3,0)*VLOOKUP('Données projet'!$B$16,Paramètres!$A$1:$I$89,5,0)</f>
        <v>88.504000000000005</v>
      </c>
      <c r="FG29" s="13">
        <f t="shared" si="47"/>
        <v>24.204074597328468</v>
      </c>
      <c r="FH29" s="20">
        <f t="shared" si="22"/>
        <v>196.29989659034709</v>
      </c>
      <c r="FI29" s="59">
        <f t="shared" si="23"/>
        <v>489.6332299236804</v>
      </c>
      <c r="FJ29" s="59">
        <f ca="1">AVERAGE(OFFSET($FI$3,0,0,'Données projet'!$E$16+1,1))-AVERAGE(OFFSET($H$3,0,0,'Données projet'!$E$16+1,1))</f>
        <v>252.30925789500111</v>
      </c>
      <c r="FK29" s="59">
        <f t="shared" si="48"/>
        <v>213.96033794804805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11.25</v>
      </c>
      <c r="FZ29" s="12">
        <f>IF('Données projet'!$A$244&gt;35,FZ28+FY29-GH28,IF(A29&lt;'Données projet'!$A$244,$FW$205^A29,IF(A29='Données projet'!$A$244,'Données projet'!$B$244,FZ28+FY29-GH28)))</f>
        <v>123.5</v>
      </c>
      <c r="GA29" s="17">
        <f>FZ29*VLOOKUP('Données projet'!$B$17,Paramètres!$A$1:$I$89,3,0)*VLOOKUP('Données projet'!$B$17,Paramètres!$A$1:$I$89,5,0)</f>
        <v>73.853000000000009</v>
      </c>
      <c r="GB29" s="13">
        <f t="shared" si="49"/>
        <v>20.627289068131414</v>
      </c>
      <c r="GC29" s="20">
        <f t="shared" si="25"/>
        <v>164.55317012699555</v>
      </c>
      <c r="GD29" s="59">
        <f t="shared" si="26"/>
        <v>457.88650346032887</v>
      </c>
      <c r="GE29" s="59">
        <f ca="1">AVERAGE(OFFSET($GD$3,0,0,'Données projet'!$E$17+1,1))-AVERAGE(OFFSET($H$3,0,0,'Données projet'!$E$17+1,1))</f>
        <v>117.54638373164624</v>
      </c>
      <c r="GF29" s="59">
        <f t="shared" si="50"/>
        <v>133.0740262536583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0.68623100429540784</v>
      </c>
      <c r="GM29" s="21">
        <f>EXP(-LN(2)/25)*GM28+(1-EXP(-LN(2)/25))/(LN(2)/25)*Calculateur!GH29*Calculateur!GJ29*VLOOKUP('Données projet'!$B$17,Paramètres!$A$1:$I$89,3,0)*0.475*44/12</f>
        <v>6.2129860279849281</v>
      </c>
      <c r="GN29" s="21">
        <f>EXP(-LN(2)/2)*GN28+(1-EXP(-LN(2)/2))/(LN(2)/2)*GH29*GK29*VLOOKUP('Données projet'!$B$17,Paramètres!$A$1:$I$89,3,0)*0.475*44/12</f>
        <v>3.7239120265645469</v>
      </c>
      <c r="GO29" s="21">
        <f t="shared" si="27"/>
        <v>10.623129058844883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2.8421709430404007E-14</v>
      </c>
      <c r="GV29" s="17">
        <f>GU29*VLOOKUP('Données projet'!$B$18,Paramètres!$A$1:$I$89,3,0)*VLOOKUP('Données projet'!$B$18,Paramètres!$A$1:$I$89,5,0)</f>
        <v>1.3567387213697657E-14</v>
      </c>
      <c r="GW29" s="13">
        <f t="shared" si="51"/>
        <v>2.5717320947985821E-13</v>
      </c>
      <c r="GX29" s="20">
        <f t="shared" si="28"/>
        <v>4.7153987257460977E-13</v>
      </c>
      <c r="GY29" s="59">
        <f t="shared" si="29"/>
        <v>293.33333333333377</v>
      </c>
      <c r="GZ29" s="59">
        <f ca="1">AVERAGE(OFFSET($GY$3,0,0,'Données projet'!$E$18+1,1))-AVERAGE(OFFSET($H$3,0,0,'Données projet'!$E$18+1,1))</f>
        <v>43.147469606759159</v>
      </c>
      <c r="HA29" s="59">
        <f t="shared" si="52"/>
        <v>147.46995307968473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39.034969871300738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2.2047178289447578</v>
      </c>
      <c r="HJ29" s="22">
        <f t="shared" si="30"/>
        <v>41.239687700245497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4.8</v>
      </c>
      <c r="N30" s="13">
        <f>IF('Données projet'!$A$36&gt;35,N29+M30-V29,IF(A30&lt;'Données projet'!$A$36,$K$205^A30,IF(A30='Données projet'!$A$36,'Données projet'!$B$36,N29+M30-V29)))</f>
        <v>39.599999999999994</v>
      </c>
      <c r="O30" s="13">
        <f>N30*VLOOKUP('Données projet'!$B$9,Paramètres!$A$1:$I$89,3,0)*VLOOKUP('Données projet'!$B$9,Paramètres!$A$1:$I$89,5,0)</f>
        <v>35.830079999999995</v>
      </c>
      <c r="P30" s="13">
        <f t="shared" si="33"/>
        <v>10.886427918882697</v>
      </c>
      <c r="Q30" s="20">
        <f t="shared" si="2"/>
        <v>81.364584625387351</v>
      </c>
      <c r="R30" s="59">
        <f t="shared" si="0"/>
        <v>374.69791795872067</v>
      </c>
      <c r="S30" s="59">
        <f ca="1">AVERAGE(OFFSET($R$3,0,0,'Données projet'!$E$9+1,1))-AVERAGE(OFFSET($H$3,0,0,'Données projet'!$E$9+1,1))</f>
        <v>138.8931001150624</v>
      </c>
      <c r="T30" s="59">
        <f t="shared" si="34"/>
        <v>48.964659354096625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10.199999999999999</v>
      </c>
      <c r="AI30" s="13">
        <f>IF('Données projet'!$A$62&gt;35,AI29+AH30-AQ29,IF(A30&lt;'Données projet'!$A$62,$AF$205^A30,IF(A30='Données projet'!$A$62,'Données projet'!$B$62,AI29+AH30-AQ29)))</f>
        <v>144.4</v>
      </c>
      <c r="AJ30" s="13">
        <f>AI30*VLOOKUP('Données projet'!$B$10,Paramètres!$A$1:$I$89,3,0)*VLOOKUP('Données projet'!$B$10,Paramètres!$A$1:$I$89,5,0)</f>
        <v>126.14784000000002</v>
      </c>
      <c r="AK30" s="13">
        <f t="shared" si="35"/>
        <v>33.10468597352537</v>
      </c>
      <c r="AL30" s="20">
        <f t="shared" si="4"/>
        <v>277.36481607055674</v>
      </c>
      <c r="AM30" s="59">
        <f t="shared" si="5"/>
        <v>570.69814940389006</v>
      </c>
      <c r="AN30" s="59">
        <f ca="1">AVERAGE(OFFSET($AM$3,0,0,'Données projet'!$E$10+1,1))-AVERAGE(OFFSET($H$3,0,0,'Données projet'!$E$10+1,1))</f>
        <v>191.94797389630673</v>
      </c>
      <c r="AO30" s="59">
        <f t="shared" si="36"/>
        <v>273.52540822767878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2.7253132104992046</v>
      </c>
      <c r="AW30" s="21">
        <f>EXP(-LN(2)/2)*AW29+(1-EXP(-LN(2)/2))/(LN(2)/2)*AQ30*AT30*VLOOKUP('Données projet'!$B$10,Paramètres!$A$1:$I$89,3,0)*0.475*44/12</f>
        <v>0.58284345061443543</v>
      </c>
      <c r="AX30" s="21">
        <f t="shared" si="6"/>
        <v>3.3081566611136402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11.1</v>
      </c>
      <c r="BD30" s="12">
        <f>IF('Données projet'!$A$88&gt;35,BD29+BC30-BL29,IF(A30&lt;'Données projet'!$A$88,$BA$205^A30,IF(A30='Données projet'!$A$88,'Données projet'!$B$88,BD29+BC30-BL29)))</f>
        <v>143.69999999999996</v>
      </c>
      <c r="BE30" s="13">
        <f>BD30*VLOOKUP('Données projet'!$B$11,Paramètres!$A$1:$I$89,3,0)*VLOOKUP('Données projet'!$B$11,Paramètres!$A$1:$I$89,5,0)</f>
        <v>89.66879999999999</v>
      </c>
      <c r="BF30" s="13">
        <f t="shared" si="37"/>
        <v>24.485330397878503</v>
      </c>
      <c r="BG30" s="20">
        <f t="shared" si="7"/>
        <v>198.818443776305</v>
      </c>
      <c r="BH30" s="59">
        <f t="shared" si="8"/>
        <v>492.15177710963832</v>
      </c>
      <c r="BI30" s="59">
        <f ca="1">AVERAGE(OFFSET($BH$3,0,0,'Données projet'!$E$11+1,1))-AVERAGE(OFFSET($H$3,0,0,'Données projet'!$E$11+1,1))</f>
        <v>162.91481796710048</v>
      </c>
      <c r="BJ30" s="59">
        <f t="shared" si="38"/>
        <v>182.56192390367823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3.0557913905099054</v>
      </c>
      <c r="BR30" s="21">
        <f>EXP(-LN(2)/2)*BR29+(1-EXP(-LN(2)/2))/(LN(2)/2)*BL30*BO30*VLOOKUP('Données projet'!$B$11,Paramètres!$A$1:$I$89,3,0)*0.475*44/12</f>
        <v>0.46835634424374256</v>
      </c>
      <c r="BS30" s="22">
        <f t="shared" si="9"/>
        <v>3.5241477347536478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6.5</v>
      </c>
      <c r="BY30" s="12">
        <f>IF('Données projet'!$A$114&gt;35,BY29+BX30-CG29,IF(A30&lt;'Données projet'!$A$114,$BV$205^A30,IF(A30='Données projet'!$A$114,'Données projet'!$B$114,BY29+BX30-CG29)))</f>
        <v>153.6</v>
      </c>
      <c r="BZ30" s="13">
        <f>BY30*VLOOKUP('Données projet'!$B$12,Paramètres!$A$1:$I$89,3,0)*VLOOKUP('Données projet'!$B$12,Paramètres!$A$1:$I$89,5,0)</f>
        <v>71.884799999999998</v>
      </c>
      <c r="CA30" s="13">
        <f t="shared" si="39"/>
        <v>20.140793597217179</v>
      </c>
      <c r="CB30" s="20">
        <f t="shared" si="10"/>
        <v>160.27790884848659</v>
      </c>
      <c r="CC30" s="59">
        <f t="shared" si="11"/>
        <v>453.61124218181988</v>
      </c>
      <c r="CD30" s="59">
        <f ca="1">AVERAGE(OFFSET($CC$3,0,0,'Données projet'!$E$12+1,1))-AVERAGE(OFFSET($H$3,0,0,'Données projet'!$E$12+1,1))</f>
        <v>123.60520571614535</v>
      </c>
      <c r="CE30" s="59">
        <f t="shared" si="40"/>
        <v>119.00926870519527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0.96639402724875767</v>
      </c>
      <c r="CM30" s="21">
        <f>EXP(-LN(2)/2)*CM29+(1-EXP(-LN(2)/2))/(LN(2)/2)*CG30*CJ30*VLOOKUP('Données projet'!$B$12,Paramètres!$A$1:$I$89,3,0)*0.475*44/12</f>
        <v>0.16158293876409122</v>
      </c>
      <c r="CN30" s="22">
        <f t="shared" si="12"/>
        <v>1.1279769660128489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41.389919999999996</v>
      </c>
      <c r="CV30" s="13">
        <f t="shared" si="41"/>
        <v>12.366309791717869</v>
      </c>
      <c r="CW30" s="20">
        <f t="shared" si="13"/>
        <v>93.625433553908593</v>
      </c>
      <c r="CX30" s="59">
        <f t="shared" si="14"/>
        <v>386.95876688724189</v>
      </c>
      <c r="CY30" s="59">
        <f ca="1">AVERAGE(OFFSET($CX$3,0,0,'Données projet'!$E$13+1,1))-AVERAGE(OFFSET($H$3,0,0,'Données projet'!$E$13+1,1))</f>
        <v>177.94336949486529</v>
      </c>
      <c r="CZ30" s="59">
        <f t="shared" si="42"/>
        <v>65.559373432574603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10.199999999999999</v>
      </c>
      <c r="DO30" s="12">
        <f>IF('Données projet'!$A$166&gt;35,DO29+DN30-DW29,IF(A30&lt;'Données projet'!$A$166,$DL$205^A30,IF(A30='Données projet'!$A$166,'Données projet'!$B$166,DO29+DN30-DW29)))</f>
        <v>133.4</v>
      </c>
      <c r="DP30" s="17">
        <f>DO30*VLOOKUP('Données projet'!$B$14,Paramètres!$A$1:$I$89,3,0)*VLOOKUP('Données projet'!$B$14,Paramètres!$A$1:$I$89,5,0)</f>
        <v>79.773200000000003</v>
      </c>
      <c r="DQ30" s="13">
        <f t="shared" si="43"/>
        <v>22.081721190221341</v>
      </c>
      <c r="DR30" s="20">
        <f t="shared" si="16"/>
        <v>177.39732107296882</v>
      </c>
      <c r="DS30" s="59">
        <f t="shared" si="17"/>
        <v>470.73065440630216</v>
      </c>
      <c r="DT30" s="59">
        <f ca="1">AVERAGE(OFFSET($DS$3,0,0,'Données projet'!$E$14+1,1))-AVERAGE(OFFSET($H$3,0,0,'Données projet'!$E$14+1,1))</f>
        <v>165.39579887388538</v>
      </c>
      <c r="DU30" s="59">
        <f t="shared" si="44"/>
        <v>155.89639262545802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19</v>
      </c>
      <c r="EJ30" s="12">
        <f>IF('Données projet'!$A$192&gt;35,EJ29+EI30-ER29,IF(A30&lt;'Données projet'!$A$192,$EG$205^A30,IF(A30='Données projet'!$A$192,'Données projet'!$B$192,EJ29+EI30-ER29)))</f>
        <v>203</v>
      </c>
      <c r="EK30" s="17">
        <f>EJ30*VLOOKUP('Données projet'!$B$15,Paramètres!$A$1:$I$89,3,0)*VLOOKUP('Données projet'!$B$15,Paramètres!$A$1:$I$89,5,0)</f>
        <v>97.643000000000001</v>
      </c>
      <c r="EL30" s="13">
        <f t="shared" si="45"/>
        <v>26.399697676478496</v>
      </c>
      <c r="EM30" s="20">
        <f t="shared" si="19"/>
        <v>216.04103178653338</v>
      </c>
      <c r="EN30" s="59">
        <f t="shared" si="20"/>
        <v>509.3743651198667</v>
      </c>
      <c r="EO30" s="59">
        <f ca="1">AVERAGE(OFFSET($EN$3,0,0,'Données projet'!$E$15+1,1))-AVERAGE(OFFSET($H$3,0,0,'Données projet'!$E$15+1,1))</f>
        <v>252.30925789500111</v>
      </c>
      <c r="EP30" s="59">
        <f t="shared" si="46"/>
        <v>213.96033794804805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19</v>
      </c>
      <c r="FE30" s="12">
        <f>IF('Données projet'!$A$218&gt;35,FE29+FD30-FM29,IF(A30&lt;'Données projet'!$A$218,$FB$205^A30,IF(A30='Données projet'!$A$218,'Données projet'!$B$218,FE29+FD30-FM29)))</f>
        <v>203</v>
      </c>
      <c r="FF30" s="17">
        <f>FE30*VLOOKUP('Données projet'!$B$16,Paramètres!$A$1:$I$89,3,0)*VLOOKUP('Données projet'!$B$16,Paramètres!$A$1:$I$89,5,0)</f>
        <v>97.643000000000001</v>
      </c>
      <c r="FG30" s="13">
        <f t="shared" si="47"/>
        <v>26.399697676478496</v>
      </c>
      <c r="FH30" s="20">
        <f t="shared" si="22"/>
        <v>216.04103178653338</v>
      </c>
      <c r="FI30" s="59">
        <f t="shared" si="23"/>
        <v>509.3743651198667</v>
      </c>
      <c r="FJ30" s="59">
        <f ca="1">AVERAGE(OFFSET($FI$3,0,0,'Données projet'!$E$16+1,1))-AVERAGE(OFFSET($H$3,0,0,'Données projet'!$E$16+1,1))</f>
        <v>252.30925789500111</v>
      </c>
      <c r="FK30" s="59">
        <f t="shared" si="48"/>
        <v>213.96033794804805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11.25</v>
      </c>
      <c r="FZ30" s="12">
        <f>IF('Données projet'!$A$244&gt;35,FZ29+FY30-GH29,IF(A30&lt;'Données projet'!$A$244,$FW$205^A30,IF(A30='Données projet'!$A$244,'Données projet'!$B$244,FZ29+FY30-GH29)))</f>
        <v>134.75</v>
      </c>
      <c r="GA30" s="17">
        <f>FZ30*VLOOKUP('Données projet'!$B$17,Paramètres!$A$1:$I$89,3,0)*VLOOKUP('Données projet'!$B$17,Paramètres!$A$1:$I$89,5,0)</f>
        <v>80.580500000000001</v>
      </c>
      <c r="GB30" s="13">
        <f t="shared" si="49"/>
        <v>22.279059616532283</v>
      </c>
      <c r="GC30" s="20">
        <f t="shared" si="25"/>
        <v>179.14706633212708</v>
      </c>
      <c r="GD30" s="59">
        <f t="shared" si="26"/>
        <v>472.48039966546037</v>
      </c>
      <c r="GE30" s="59">
        <f ca="1">AVERAGE(OFFSET($GD$3,0,0,'Données projet'!$E$17+1,1))-AVERAGE(OFFSET($H$3,0,0,'Données projet'!$E$17+1,1))</f>
        <v>117.54638373164624</v>
      </c>
      <c r="GF30" s="59">
        <f t="shared" si="50"/>
        <v>133.0740262536583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0.67277443286075822</v>
      </c>
      <c r="GM30" s="21">
        <f>EXP(-LN(2)/25)*GM29+(1-EXP(-LN(2)/25))/(LN(2)/25)*Calculateur!GH30*Calculateur!GJ30*VLOOKUP('Données projet'!$B$17,Paramètres!$A$1:$I$89,3,0)*0.475*44/12</f>
        <v>6.0430915983229445</v>
      </c>
      <c r="GN30" s="21">
        <f>EXP(-LN(2)/2)*GN29+(1-EXP(-LN(2)/2))/(LN(2)/2)*GH30*GK30*VLOOKUP('Données projet'!$B$17,Paramètres!$A$1:$I$89,3,0)*0.475*44/12</f>
        <v>2.63320344652593</v>
      </c>
      <c r="GO30" s="21">
        <f t="shared" si="27"/>
        <v>9.3490694777096337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2.8421709430404007E-14</v>
      </c>
      <c r="GV30" s="17">
        <f>GU30*VLOOKUP('Données projet'!$B$18,Paramètres!$A$1:$I$89,3,0)*VLOOKUP('Données projet'!$B$18,Paramètres!$A$1:$I$89,5,0)</f>
        <v>1.3567387213697657E-14</v>
      </c>
      <c r="GW30" s="13">
        <f t="shared" si="51"/>
        <v>2.5717320947985821E-13</v>
      </c>
      <c r="GX30" s="20">
        <f t="shared" si="28"/>
        <v>4.7153987257460977E-13</v>
      </c>
      <c r="GY30" s="59">
        <f t="shared" si="29"/>
        <v>293.33333333333377</v>
      </c>
      <c r="GZ30" s="59">
        <f ca="1">AVERAGE(OFFSET($GY$3,0,0,'Données projet'!$E$18+1,1))-AVERAGE(OFFSET($H$3,0,0,'Données projet'!$E$18+1,1))</f>
        <v>43.147469606759159</v>
      </c>
      <c r="HA30" s="59">
        <f t="shared" si="52"/>
        <v>147.46995307968473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38.269517921105212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1.558970927449721</v>
      </c>
      <c r="HJ30" s="22">
        <f t="shared" si="30"/>
        <v>39.828488848554933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4.8</v>
      </c>
      <c r="N31" s="13">
        <f>IF('Données projet'!$A$36&gt;35,N30+M31-V30,IF(A31&lt;'Données projet'!$A$36,$K$205^A31,IF(A31='Données projet'!$A$36,'Données projet'!$B$36,N30+M31-V30)))</f>
        <v>44.399999999999991</v>
      </c>
      <c r="O31" s="13">
        <f>N31*VLOOKUP('Données projet'!$B$9,Paramètres!$A$1:$I$89,3,0)*VLOOKUP('Données projet'!$B$9,Paramètres!$A$1:$I$89,5,0)</f>
        <v>40.17311999999999</v>
      </c>
      <c r="P31" s="13">
        <f t="shared" si="33"/>
        <v>12.044520842267836</v>
      </c>
      <c r="Q31" s="20">
        <f t="shared" si="2"/>
        <v>90.945724466949798</v>
      </c>
      <c r="R31" s="59">
        <f t="shared" si="0"/>
        <v>384.27905780028311</v>
      </c>
      <c r="S31" s="59">
        <f ca="1">AVERAGE(OFFSET($R$3,0,0,'Données projet'!$E$9+1,1))-AVERAGE(OFFSET($H$3,0,0,'Données projet'!$E$9+1,1))</f>
        <v>138.8931001150624</v>
      </c>
      <c r="T31" s="59">
        <f t="shared" si="34"/>
        <v>48.964659354096625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10.199999999999999</v>
      </c>
      <c r="AI31" s="13">
        <f>IF('Données projet'!$A$62&gt;35,AI30+AH31-AQ30,IF(A31&lt;'Données projet'!$A$62,$AF$205^A31,IF(A31='Données projet'!$A$62,'Données projet'!$B$62,AI30+AH31-AQ30)))</f>
        <v>154.6</v>
      </c>
      <c r="AJ31" s="13">
        <f>AI31*VLOOKUP('Données projet'!$B$10,Paramètres!$A$1:$I$89,3,0)*VLOOKUP('Données projet'!$B$10,Paramètres!$A$1:$I$89,5,0)</f>
        <v>135.05856000000003</v>
      </c>
      <c r="AK31" s="13">
        <f t="shared" si="35"/>
        <v>35.16263443880888</v>
      </c>
      <c r="AL31" s="20">
        <f t="shared" si="4"/>
        <v>296.46858031425882</v>
      </c>
      <c r="AM31" s="59">
        <f t="shared" si="5"/>
        <v>589.80191364759207</v>
      </c>
      <c r="AN31" s="59">
        <f ca="1">AVERAGE(OFFSET($AM$3,0,0,'Données projet'!$E$10+1,1))-AVERAGE(OFFSET($H$3,0,0,'Données projet'!$E$10+1,1))</f>
        <v>191.94797389630673</v>
      </c>
      <c r="AO31" s="59">
        <f t="shared" si="36"/>
        <v>273.52540822767878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2.6507893774401108</v>
      </c>
      <c r="AW31" s="21">
        <f>EXP(-LN(2)/2)*AW30+(1-EXP(-LN(2)/2))/(LN(2)/2)*AQ31*AT31*VLOOKUP('Données projet'!$B$10,Paramètres!$A$1:$I$89,3,0)*0.475*44/12</f>
        <v>0.41213255629963397</v>
      </c>
      <c r="AX31" s="21">
        <f t="shared" si="6"/>
        <v>3.0629219337397449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11.1</v>
      </c>
      <c r="BD31" s="12">
        <f>IF('Données projet'!$A$88&gt;35,BD30+BC31-BL30,IF(A31&lt;'Données projet'!$A$88,$BA$205^A31,IF(A31='Données projet'!$A$88,'Données projet'!$B$88,BD30+BC31-BL30)))</f>
        <v>154.79999999999995</v>
      </c>
      <c r="BE31" s="13">
        <f>BD31*VLOOKUP('Données projet'!$B$11,Paramètres!$A$1:$I$89,3,0)*VLOOKUP('Données projet'!$B$11,Paramètres!$A$1:$I$89,5,0)</f>
        <v>96.595199999999963</v>
      </c>
      <c r="BF31" s="13">
        <f t="shared" si="37"/>
        <v>26.149222795600728</v>
      </c>
      <c r="BG31" s="20">
        <f t="shared" si="7"/>
        <v>213.77986970233783</v>
      </c>
      <c r="BH31" s="59">
        <f t="shared" si="8"/>
        <v>507.11320303567118</v>
      </c>
      <c r="BI31" s="59">
        <f ca="1">AVERAGE(OFFSET($BH$3,0,0,'Données projet'!$E$11+1,1))-AVERAGE(OFFSET($H$3,0,0,'Données projet'!$E$11+1,1))</f>
        <v>162.91481796710048</v>
      </c>
      <c r="BJ31" s="59">
        <f t="shared" si="38"/>
        <v>182.56192390367823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2.9722306142393271</v>
      </c>
      <c r="BR31" s="21">
        <f>EXP(-LN(2)/2)*BR30+(1-EXP(-LN(2)/2))/(LN(2)/2)*BL31*BO31*VLOOKUP('Données projet'!$B$11,Paramètres!$A$1:$I$89,3,0)*0.475*44/12</f>
        <v>0.33117794702649145</v>
      </c>
      <c r="BS31" s="22">
        <f t="shared" si="9"/>
        <v>3.3034085612658184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6.5</v>
      </c>
      <c r="BY31" s="12">
        <f>IF('Données projet'!$A$114&gt;35,BY30+BX31-CG30,IF(A31&lt;'Données projet'!$A$114,$BV$205^A31,IF(A31='Données projet'!$A$114,'Données projet'!$B$114,BY30+BX31-CG30)))</f>
        <v>160.1</v>
      </c>
      <c r="BZ31" s="13">
        <f>BY31*VLOOKUP('Données projet'!$B$12,Paramètres!$A$1:$I$89,3,0)*VLOOKUP('Données projet'!$B$12,Paramètres!$A$1:$I$89,5,0)</f>
        <v>74.9268</v>
      </c>
      <c r="CA31" s="13">
        <f t="shared" si="39"/>
        <v>20.892070444276687</v>
      </c>
      <c r="CB31" s="20">
        <f t="shared" si="10"/>
        <v>166.88453269044854</v>
      </c>
      <c r="CC31" s="59">
        <f t="shared" si="11"/>
        <v>460.21786602378188</v>
      </c>
      <c r="CD31" s="59">
        <f ca="1">AVERAGE(OFFSET($CC$3,0,0,'Données projet'!$E$12+1,1))-AVERAGE(OFFSET($H$3,0,0,'Données projet'!$E$12+1,1))</f>
        <v>123.60520571614535</v>
      </c>
      <c r="CE31" s="59">
        <f t="shared" si="40"/>
        <v>119.00926870519527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0.93996793175318727</v>
      </c>
      <c r="CM31" s="21">
        <f>EXP(-LN(2)/2)*CM30+(1-EXP(-LN(2)/2))/(LN(2)/2)*CG31*CJ31*VLOOKUP('Données projet'!$B$12,Paramètres!$A$1:$I$89,3,0)*0.475*44/12</f>
        <v>0.11425639172413957</v>
      </c>
      <c r="CN31" s="22">
        <f t="shared" si="12"/>
        <v>1.0542243234773268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46.406880000000001</v>
      </c>
      <c r="CV31" s="13">
        <f t="shared" si="41"/>
        <v>13.681831831168125</v>
      </c>
      <c r="CW31" s="20">
        <f t="shared" si="13"/>
        <v>104.65450643928448</v>
      </c>
      <c r="CX31" s="59">
        <f t="shared" si="14"/>
        <v>397.9878397726178</v>
      </c>
      <c r="CY31" s="59">
        <f ca="1">AVERAGE(OFFSET($CX$3,0,0,'Données projet'!$E$13+1,1))-AVERAGE(OFFSET($H$3,0,0,'Données projet'!$E$13+1,1))</f>
        <v>177.94336949486529</v>
      </c>
      <c r="CZ31" s="59">
        <f t="shared" si="42"/>
        <v>65.559373432574603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10.199999999999999</v>
      </c>
      <c r="DO31" s="12">
        <f>IF('Données projet'!$A$166&gt;35,DO30+DN31-DW30,IF(A31&lt;'Données projet'!$A$166,$DL$205^A31,IF(A31='Données projet'!$A$166,'Données projet'!$B$166,DO30+DN31-DW30)))</f>
        <v>143.6</v>
      </c>
      <c r="DP31" s="17">
        <f>DO31*VLOOKUP('Données projet'!$B$14,Paramètres!$A$1:$I$89,3,0)*VLOOKUP('Données projet'!$B$14,Paramètres!$A$1:$I$89,5,0)</f>
        <v>85.872799999999998</v>
      </c>
      <c r="DQ31" s="13">
        <f t="shared" si="43"/>
        <v>23.567140673267303</v>
      </c>
      <c r="DR31" s="20">
        <f t="shared" si="16"/>
        <v>190.60789667260721</v>
      </c>
      <c r="DS31" s="59">
        <f t="shared" si="17"/>
        <v>483.9412300059405</v>
      </c>
      <c r="DT31" s="59">
        <f ca="1">AVERAGE(OFFSET($DS$3,0,0,'Données projet'!$E$14+1,1))-AVERAGE(OFFSET($H$3,0,0,'Données projet'!$E$14+1,1))</f>
        <v>165.39579887388538</v>
      </c>
      <c r="DU31" s="59">
        <f t="shared" si="44"/>
        <v>155.89639262545802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19</v>
      </c>
      <c r="EJ31" s="12">
        <f>IF('Données projet'!$A$192&gt;35,EJ30+EI31-ER30,IF(A31&lt;'Données projet'!$A$192,$EG$205^A31,IF(A31='Données projet'!$A$192,'Données projet'!$B$192,EJ30+EI31-ER30)))</f>
        <v>222</v>
      </c>
      <c r="EK31" s="17">
        <f>EJ31*VLOOKUP('Données projet'!$B$15,Paramètres!$A$1:$I$89,3,0)*VLOOKUP('Données projet'!$B$15,Paramètres!$A$1:$I$89,5,0)</f>
        <v>106.78200000000001</v>
      </c>
      <c r="EL31" s="13">
        <f t="shared" si="45"/>
        <v>28.571493499686834</v>
      </c>
      <c r="EM31" s="20">
        <f t="shared" si="19"/>
        <v>235.74066784528793</v>
      </c>
      <c r="EN31" s="59">
        <f t="shared" si="20"/>
        <v>529.0740011786213</v>
      </c>
      <c r="EO31" s="59">
        <f ca="1">AVERAGE(OFFSET($EN$3,0,0,'Données projet'!$E$15+1,1))-AVERAGE(OFFSET($H$3,0,0,'Données projet'!$E$15+1,1))</f>
        <v>252.30925789500111</v>
      </c>
      <c r="EP31" s="59">
        <f t="shared" si="46"/>
        <v>213.96033794804805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19</v>
      </c>
      <c r="FE31" s="12">
        <f>IF('Données projet'!$A$218&gt;35,FE30+FD31-FM30,IF(A31&lt;'Données projet'!$A$218,$FB$205^A31,IF(A31='Données projet'!$A$218,'Données projet'!$B$218,FE30+FD31-FM30)))</f>
        <v>222</v>
      </c>
      <c r="FF31" s="17">
        <f>FE31*VLOOKUP('Données projet'!$B$16,Paramètres!$A$1:$I$89,3,0)*VLOOKUP('Données projet'!$B$16,Paramètres!$A$1:$I$89,5,0)</f>
        <v>106.78200000000001</v>
      </c>
      <c r="FG31" s="13">
        <f t="shared" si="47"/>
        <v>28.571493499686834</v>
      </c>
      <c r="FH31" s="20">
        <f t="shared" si="22"/>
        <v>235.74066784528793</v>
      </c>
      <c r="FI31" s="59">
        <f t="shared" si="23"/>
        <v>529.0740011786213</v>
      </c>
      <c r="FJ31" s="59">
        <f ca="1">AVERAGE(OFFSET($FI$3,0,0,'Données projet'!$E$16+1,1))-AVERAGE(OFFSET($H$3,0,0,'Données projet'!$E$16+1,1))</f>
        <v>252.30925789500111</v>
      </c>
      <c r="FK31" s="59">
        <f t="shared" si="48"/>
        <v>213.96033794804805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>
        <f>VLOOKUP(A31,'Données projet'!$A$243:$I$263,2,0)</f>
        <v>146</v>
      </c>
      <c r="FX31" s="12">
        <f>VLOOKUP(A31,'Données projet'!$A$243:$I$263,9,0)</f>
        <v>11.25</v>
      </c>
      <c r="FY31" s="12">
        <f t="array" ref="FY31">INDEX(FX:FX,MIN(IF(ISNUMBER(FX31:FX227),ROW(FX31:FX227),"")))</f>
        <v>11.25</v>
      </c>
      <c r="FZ31" s="12">
        <f>IF('Données projet'!$A$244&gt;35,FZ30+FY31-GH30,IF(A31&lt;'Données projet'!$A$244,$FW$205^A31,IF(A31='Données projet'!$A$244,'Données projet'!$B$244,FZ30+FY31-GH30)))</f>
        <v>146</v>
      </c>
      <c r="GA31" s="17">
        <f>FZ31*VLOOKUP('Données projet'!$B$17,Paramètres!$A$1:$I$89,3,0)*VLOOKUP('Données projet'!$B$17,Paramètres!$A$1:$I$89,5,0)</f>
        <v>87.307999999999993</v>
      </c>
      <c r="GB31" s="13">
        <f t="shared" si="49"/>
        <v>23.914836409796052</v>
      </c>
      <c r="GC31" s="20">
        <f t="shared" si="25"/>
        <v>193.71310674706146</v>
      </c>
      <c r="GD31" s="59">
        <f t="shared" si="26"/>
        <v>487.04644008039475</v>
      </c>
      <c r="GE31" s="59">
        <f ca="1">AVERAGE(OFFSET($GD$3,0,0,'Données projet'!$E$17+1,1))-AVERAGE(OFFSET($H$3,0,0,'Données projet'!$E$17+1,1))</f>
        <v>117.54638373164624</v>
      </c>
      <c r="GF31" s="59">
        <f t="shared" si="50"/>
        <v>133.0740262536583</v>
      </c>
      <c r="GG31" s="15">
        <f>IF(ISNA(VLOOKUP(A31,'Données projet'!$A$243:$I$263,3,0)),0,VLOOKUP(A31,'Données projet'!$A$243:$I$263,3,0))</f>
        <v>4</v>
      </c>
      <c r="GH31" s="15">
        <f>IF(ISNA(VLOOKUP(A31,'Données projet'!$A$243:$I$263,4,0)),0,VLOOKUP(A31,'Données projet'!$A$243:$I$263,4,0))</f>
        <v>23</v>
      </c>
      <c r="GI31" s="16">
        <f>IF(ISNA(VLOOKUP(A31,'Données projet'!$A$243:$I$263,5,0)),0%,VLOOKUP(A31,'Données projet'!$A$243:$I$263,5,0)*VLOOKUP('Données projet'!$B$17,Paramètres!$A$1:$I$89,7,0))</f>
        <v>9.0000000000000011E-2</v>
      </c>
      <c r="GJ31" s="16">
        <f>IF(ISNA(VLOOKUP(A31,'Données projet'!$A$243:$I$263,6,0)),0%,VLOOKUP(A31,'Données projet'!$A$243:$I$263,6,0)*VLOOKUP('Données projet'!$B$17,Paramètres!$A$1:$I$89,7,0))</f>
        <v>0.18000000000000002</v>
      </c>
      <c r="GK31" s="16">
        <f>IF(ISNA(VLOOKUP(A31,'Données projet'!$A$243:$I$263,7,0)),0%,VLOOKUP(A31,'Données projet'!$A$243:$I$263,7,0))</f>
        <v>0.4</v>
      </c>
      <c r="GL31" s="21">
        <f>EXP(-LN(2)/35)*GL30+(1-EXP(-LN(2)/35))/(LN(2)/35)*GH31*GI31*VLOOKUP('Données projet'!$B$17,Paramètres!$A$1:$I$89,3,0)*0.475*44/12</f>
        <v>2.3016828133946334</v>
      </c>
      <c r="GM31" s="21">
        <f>EXP(-LN(2)/25)*GM30+(1-EXP(-LN(2)/25))/(LN(2)/25)*Calculateur!GH31*Calculateur!GJ31*VLOOKUP('Données projet'!$B$17,Paramètres!$A$1:$I$89,3,0)*0.475*44/12</f>
        <v>9.1491139391372762</v>
      </c>
      <c r="GN31" s="21">
        <f>EXP(-LN(2)/2)*GN30+(1-EXP(-LN(2)/2))/(LN(2)/2)*GH31*GK31*VLOOKUP('Données projet'!$B$17,Paramètres!$A$1:$I$89,3,0)*0.475*44/12</f>
        <v>8.0910452213538786</v>
      </c>
      <c r="GO31" s="21">
        <f t="shared" si="27"/>
        <v>19.541841973885788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2.8421709430404007E-14</v>
      </c>
      <c r="GV31" s="17">
        <f>GU31*VLOOKUP('Données projet'!$B$18,Paramètres!$A$1:$I$89,3,0)*VLOOKUP('Données projet'!$B$18,Paramètres!$A$1:$I$89,5,0)</f>
        <v>1.3567387213697657E-14</v>
      </c>
      <c r="GW31" s="13">
        <f t="shared" si="51"/>
        <v>2.5717320947985821E-13</v>
      </c>
      <c r="GX31" s="20">
        <f t="shared" si="28"/>
        <v>4.7153987257460977E-13</v>
      </c>
      <c r="GY31" s="59">
        <f t="shared" si="29"/>
        <v>293.33333333333377</v>
      </c>
      <c r="GZ31" s="59">
        <f ca="1">AVERAGE(OFFSET($GY$3,0,0,'Données projet'!$E$18+1,1))-AVERAGE(OFFSET($H$3,0,0,'Données projet'!$E$18+1,1))</f>
        <v>43.147469606759159</v>
      </c>
      <c r="HA31" s="59">
        <f t="shared" si="52"/>
        <v>147.46995307968473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37.519076016773433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1.1023589144723789</v>
      </c>
      <c r="HJ31" s="22">
        <f t="shared" si="30"/>
        <v>38.621434931245808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4.8</v>
      </c>
      <c r="N32" s="13">
        <f>IF('Données projet'!$A$36&gt;35,N31+M32-V31,IF(A32&lt;'Données projet'!$A$36,$K$205^A32,IF(A32='Données projet'!$A$36,'Données projet'!$B$36,N31+M32-V31)))</f>
        <v>49.199999999999989</v>
      </c>
      <c r="O32" s="13">
        <f>N32*VLOOKUP('Données projet'!$B$9,Paramètres!$A$1:$I$89,3,0)*VLOOKUP('Données projet'!$B$9,Paramètres!$A$1:$I$89,5,0)</f>
        <v>44.516159999999985</v>
      </c>
      <c r="P32" s="13">
        <f t="shared" si="33"/>
        <v>13.188102074986608</v>
      </c>
      <c r="Q32" s="20">
        <f t="shared" si="2"/>
        <v>100.50158978060165</v>
      </c>
      <c r="R32" s="59">
        <f t="shared" si="0"/>
        <v>393.83492311393496</v>
      </c>
      <c r="S32" s="59">
        <f ca="1">AVERAGE(OFFSET($R$3,0,0,'Données projet'!$E$9+1,1))-AVERAGE(OFFSET($H$3,0,0,'Données projet'!$E$9+1,1))</f>
        <v>138.8931001150624</v>
      </c>
      <c r="T32" s="59">
        <f t="shared" si="34"/>
        <v>48.964659354096625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10.199999999999999</v>
      </c>
      <c r="AI32" s="13">
        <f>IF('Données projet'!$A$62&gt;35,AI31+AH32-AQ31,IF(A32&lt;'Données projet'!$A$62,$AF$205^A32,IF(A32='Données projet'!$A$62,'Données projet'!$B$62,AI31+AH32-AQ31)))</f>
        <v>164.79999999999998</v>
      </c>
      <c r="AJ32" s="13">
        <f>AI32*VLOOKUP('Données projet'!$B$10,Paramètres!$A$1:$I$89,3,0)*VLOOKUP('Données projet'!$B$10,Paramètres!$A$1:$I$89,5,0)</f>
        <v>143.96928</v>
      </c>
      <c r="AK32" s="13">
        <f t="shared" si="35"/>
        <v>37.20482696787677</v>
      </c>
      <c r="AL32" s="20">
        <f t="shared" si="4"/>
        <v>315.54490296905198</v>
      </c>
      <c r="AM32" s="59">
        <f t="shared" si="5"/>
        <v>608.87823630238529</v>
      </c>
      <c r="AN32" s="59">
        <f ca="1">AVERAGE(OFFSET($AM$3,0,0,'Données projet'!$E$10+1,1))-AVERAGE(OFFSET($H$3,0,0,'Données projet'!$E$10+1,1))</f>
        <v>191.94797389630673</v>
      </c>
      <c r="AO32" s="59">
        <f t="shared" si="36"/>
        <v>273.52540822767878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2.578303402515056</v>
      </c>
      <c r="AW32" s="21">
        <f>EXP(-LN(2)/2)*AW31+(1-EXP(-LN(2)/2))/(LN(2)/2)*AQ32*AT32*VLOOKUP('Données projet'!$B$10,Paramètres!$A$1:$I$89,3,0)*0.475*44/12</f>
        <v>0.29142172530721777</v>
      </c>
      <c r="AX32" s="21">
        <f t="shared" si="6"/>
        <v>2.8697251278222735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11.1</v>
      </c>
      <c r="BD32" s="12">
        <f>IF('Données projet'!$A$88&gt;35,BD31+BC32-BL31,IF(A32&lt;'Données projet'!$A$88,$BA$205^A32,IF(A32='Données projet'!$A$88,'Données projet'!$B$88,BD31+BC32-BL31)))</f>
        <v>165.89999999999995</v>
      </c>
      <c r="BE32" s="13">
        <f>BD32*VLOOKUP('Données projet'!$B$11,Paramètres!$A$1:$I$89,3,0)*VLOOKUP('Données projet'!$B$11,Paramètres!$A$1:$I$89,5,0)</f>
        <v>103.52159999999998</v>
      </c>
      <c r="BF32" s="13">
        <f t="shared" si="37"/>
        <v>27.79927277621136</v>
      </c>
      <c r="BG32" s="20">
        <f t="shared" si="7"/>
        <v>228.71718675190141</v>
      </c>
      <c r="BH32" s="59">
        <f t="shared" si="8"/>
        <v>522.05052008523467</v>
      </c>
      <c r="BI32" s="59">
        <f ca="1">AVERAGE(OFFSET($BH$3,0,0,'Données projet'!$E$11+1,1))-AVERAGE(OFFSET($H$3,0,0,'Données projet'!$E$11+1,1))</f>
        <v>162.91481796710048</v>
      </c>
      <c r="BJ32" s="59">
        <f t="shared" si="38"/>
        <v>182.56192390367823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2.890954811790138</v>
      </c>
      <c r="BR32" s="21">
        <f>EXP(-LN(2)/2)*BR31+(1-EXP(-LN(2)/2))/(LN(2)/2)*BL32*BO32*VLOOKUP('Données projet'!$B$11,Paramètres!$A$1:$I$89,3,0)*0.475*44/12</f>
        <v>0.23417817212187134</v>
      </c>
      <c r="BS32" s="22">
        <f t="shared" si="9"/>
        <v>3.1251329839120094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6.5</v>
      </c>
      <c r="BY32" s="12">
        <f>IF('Données projet'!$A$114&gt;35,BY31+BX32-CG31,IF(A32&lt;'Données projet'!$A$114,$BV$205^A32,IF(A32='Données projet'!$A$114,'Données projet'!$B$114,BY31+BX32-CG31)))</f>
        <v>166.6</v>
      </c>
      <c r="BZ32" s="13">
        <f>BY32*VLOOKUP('Données projet'!$B$12,Paramètres!$A$1:$I$89,3,0)*VLOOKUP('Données projet'!$B$12,Paramètres!$A$1:$I$89,5,0)</f>
        <v>77.968800000000002</v>
      </c>
      <c r="CA32" s="13">
        <f t="shared" si="39"/>
        <v>21.63980425794859</v>
      </c>
      <c r="CB32" s="20">
        <f t="shared" si="10"/>
        <v>173.48498574926046</v>
      </c>
      <c r="CC32" s="59">
        <f t="shared" si="11"/>
        <v>466.8183190825938</v>
      </c>
      <c r="CD32" s="59">
        <f ca="1">AVERAGE(OFFSET($CC$3,0,0,'Données projet'!$E$12+1,1))-AVERAGE(OFFSET($H$3,0,0,'Données projet'!$E$12+1,1))</f>
        <v>123.60520571614535</v>
      </c>
      <c r="CE32" s="59">
        <f t="shared" si="40"/>
        <v>119.00926870519527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0.9142644592286312</v>
      </c>
      <c r="CM32" s="21">
        <f>EXP(-LN(2)/2)*CM31+(1-EXP(-LN(2)/2))/(LN(2)/2)*CG32*CJ32*VLOOKUP('Données projet'!$B$12,Paramètres!$A$1:$I$89,3,0)*0.475*44/12</f>
        <v>8.0791469382045622E-2</v>
      </c>
      <c r="CN32" s="22">
        <f t="shared" si="12"/>
        <v>0.99505592861067682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51.423839999999991</v>
      </c>
      <c r="CV32" s="13">
        <f t="shared" si="41"/>
        <v>14.980869486234537</v>
      </c>
      <c r="CW32" s="20">
        <f t="shared" si="13"/>
        <v>115.65486902185846</v>
      </c>
      <c r="CX32" s="59">
        <f t="shared" si="14"/>
        <v>408.98820235519179</v>
      </c>
      <c r="CY32" s="59">
        <f ca="1">AVERAGE(OFFSET($CX$3,0,0,'Données projet'!$E$13+1,1))-AVERAGE(OFFSET($H$3,0,0,'Données projet'!$E$13+1,1))</f>
        <v>177.94336949486529</v>
      </c>
      <c r="CZ32" s="59">
        <f t="shared" si="42"/>
        <v>65.559373432574603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10.199999999999999</v>
      </c>
      <c r="DO32" s="12">
        <f>IF('Données projet'!$A$166&gt;35,DO31+DN32-DW31,IF(A32&lt;'Données projet'!$A$166,$DL$205^A32,IF(A32='Données projet'!$A$166,'Données projet'!$B$166,DO31+DN32-DW31)))</f>
        <v>153.79999999999998</v>
      </c>
      <c r="DP32" s="17">
        <f>DO32*VLOOKUP('Données projet'!$B$14,Paramètres!$A$1:$I$89,3,0)*VLOOKUP('Données projet'!$B$14,Paramètres!$A$1:$I$89,5,0)</f>
        <v>91.972399999999993</v>
      </c>
      <c r="DQ32" s="13">
        <f t="shared" si="43"/>
        <v>25.040318527820091</v>
      </c>
      <c r="DR32" s="20">
        <f t="shared" si="16"/>
        <v>203.79715143595331</v>
      </c>
      <c r="DS32" s="59">
        <f t="shared" si="17"/>
        <v>497.13048476928662</v>
      </c>
      <c r="DT32" s="59">
        <f ca="1">AVERAGE(OFFSET($DS$3,0,0,'Données projet'!$E$14+1,1))-AVERAGE(OFFSET($H$3,0,0,'Données projet'!$E$14+1,1))</f>
        <v>165.39579887388538</v>
      </c>
      <c r="DU32" s="59">
        <f t="shared" si="44"/>
        <v>155.89639262545802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19</v>
      </c>
      <c r="EJ32" s="12">
        <f>IF('Données projet'!$A$192&gt;35,EJ31+EI32-ER31,IF(A32&lt;'Données projet'!$A$192,$EG$205^A32,IF(A32='Données projet'!$A$192,'Données projet'!$B$192,EJ31+EI32-ER31)))</f>
        <v>241</v>
      </c>
      <c r="EK32" s="17">
        <f>EJ32*VLOOKUP('Données projet'!$B$15,Paramètres!$A$1:$I$89,3,0)*VLOOKUP('Données projet'!$B$15,Paramètres!$A$1:$I$89,5,0)</f>
        <v>115.92100000000001</v>
      </c>
      <c r="EL32" s="13">
        <f t="shared" si="45"/>
        <v>30.721733194788964</v>
      </c>
      <c r="EM32" s="20">
        <f t="shared" si="19"/>
        <v>255.40276031425742</v>
      </c>
      <c r="EN32" s="59">
        <f t="shared" si="20"/>
        <v>548.73609364759068</v>
      </c>
      <c r="EO32" s="59">
        <f ca="1">AVERAGE(OFFSET($EN$3,0,0,'Données projet'!$E$15+1,1))-AVERAGE(OFFSET($H$3,0,0,'Données projet'!$E$15+1,1))</f>
        <v>252.30925789500111</v>
      </c>
      <c r="EP32" s="59">
        <f t="shared" si="46"/>
        <v>213.96033794804805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19</v>
      </c>
      <c r="FE32" s="12">
        <f>IF('Données projet'!$A$218&gt;35,FE31+FD32-FM31,IF(A32&lt;'Données projet'!$A$218,$FB$205^A32,IF(A32='Données projet'!$A$218,'Données projet'!$B$218,FE31+FD32-FM31)))</f>
        <v>241</v>
      </c>
      <c r="FF32" s="17">
        <f>FE32*VLOOKUP('Données projet'!$B$16,Paramètres!$A$1:$I$89,3,0)*VLOOKUP('Données projet'!$B$16,Paramètres!$A$1:$I$89,5,0)</f>
        <v>115.92100000000001</v>
      </c>
      <c r="FG32" s="13">
        <f t="shared" si="47"/>
        <v>30.721733194788964</v>
      </c>
      <c r="FH32" s="20">
        <f t="shared" si="22"/>
        <v>255.40276031425742</v>
      </c>
      <c r="FI32" s="59">
        <f t="shared" si="23"/>
        <v>548.73609364759068</v>
      </c>
      <c r="FJ32" s="59">
        <f ca="1">AVERAGE(OFFSET($FI$3,0,0,'Données projet'!$E$16+1,1))-AVERAGE(OFFSET($H$3,0,0,'Données projet'!$E$16+1,1))</f>
        <v>252.30925789500111</v>
      </c>
      <c r="FK32" s="59">
        <f t="shared" si="48"/>
        <v>213.96033794804805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11.666666666666666</v>
      </c>
      <c r="FZ32" s="12">
        <f>IF('Données projet'!$A$244&gt;35,FZ31+FY32-GH31,IF(A32&lt;'Données projet'!$A$244,$FW$205^A32,IF(A32='Données projet'!$A$244,'Données projet'!$B$244,FZ31+FY32-GH31)))</f>
        <v>134.66666666666666</v>
      </c>
      <c r="GA32" s="17">
        <f>FZ32*VLOOKUP('Données projet'!$B$17,Paramètres!$A$1:$I$89,3,0)*VLOOKUP('Données projet'!$B$17,Paramètres!$A$1:$I$89,5,0)</f>
        <v>80.530666666666662</v>
      </c>
      <c r="GB32" s="13">
        <f t="shared" si="49"/>
        <v>22.266884919078866</v>
      </c>
      <c r="GC32" s="20">
        <f t="shared" si="25"/>
        <v>179.0390690118401</v>
      </c>
      <c r="GD32" s="59">
        <f t="shared" si="26"/>
        <v>472.37240234517344</v>
      </c>
      <c r="GE32" s="59">
        <f ca="1">AVERAGE(OFFSET($GD$3,0,0,'Données projet'!$E$17+1,1))-AVERAGE(OFFSET($H$3,0,0,'Données projet'!$E$17+1,1))</f>
        <v>117.54638373164624</v>
      </c>
      <c r="GF32" s="59">
        <f t="shared" si="50"/>
        <v>133.0740262536583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2.2565482173118583</v>
      </c>
      <c r="GM32" s="21">
        <f>EXP(-LN(2)/25)*GM31+(1-EXP(-LN(2)/25))/(LN(2)/25)*Calculateur!GH32*Calculateur!GJ32*VLOOKUP('Données projet'!$B$17,Paramètres!$A$1:$I$89,3,0)*0.475*44/12</f>
        <v>8.8989309373405767</v>
      </c>
      <c r="GN32" s="21">
        <f>EXP(-LN(2)/2)*GN31+(1-EXP(-LN(2)/2))/(LN(2)/2)*GH32*GK32*VLOOKUP('Données projet'!$B$17,Paramètres!$A$1:$I$89,3,0)*0.475*44/12</f>
        <v>5.7212329429063384</v>
      </c>
      <c r="GO32" s="21">
        <f t="shared" si="27"/>
        <v>16.876712097558773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2.8421709430404007E-14</v>
      </c>
      <c r="GV32" s="17">
        <f>GU32*VLOOKUP('Données projet'!$B$18,Paramètres!$A$1:$I$89,3,0)*VLOOKUP('Données projet'!$B$18,Paramètres!$A$1:$I$89,5,0)</f>
        <v>1.3567387213697657E-14</v>
      </c>
      <c r="GW32" s="13">
        <f t="shared" si="51"/>
        <v>2.5717320947985821E-13</v>
      </c>
      <c r="GX32" s="20">
        <f t="shared" si="28"/>
        <v>4.7153987257460977E-13</v>
      </c>
      <c r="GY32" s="59">
        <f t="shared" si="29"/>
        <v>293.33333333333377</v>
      </c>
      <c r="GZ32" s="59">
        <f ca="1">AVERAGE(OFFSET($GY$3,0,0,'Données projet'!$E$18+1,1))-AVERAGE(OFFSET($H$3,0,0,'Données projet'!$E$18+1,1))</f>
        <v>43.147469606759159</v>
      </c>
      <c r="HA32" s="59">
        <f t="shared" si="52"/>
        <v>147.46995307968473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36.783349820461233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0.77948546372486049</v>
      </c>
      <c r="HJ32" s="22">
        <f t="shared" si="30"/>
        <v>37.562835284186093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54</v>
      </c>
      <c r="L33" s="12">
        <f>VLOOKUP(A33,'Données projet'!$A$35:$I$55,9,0)</f>
        <v>4.8</v>
      </c>
      <c r="M33" s="12">
        <f t="array" ref="M33">INDEX(L:L,MIN(IF(ISNUMBER(L33:L229),ROW(L33:L229),"")))</f>
        <v>4.8</v>
      </c>
      <c r="N33" s="13">
        <f>IF('Données projet'!$A$36&gt;35,N32+M33-V32,IF(A33&lt;'Données projet'!$A$36,$K$205^A33,IF(A33='Données projet'!$A$36,'Données projet'!$B$36,N32+M33-V32)))</f>
        <v>53.999999999999986</v>
      </c>
      <c r="O33" s="13">
        <f>N33*VLOOKUP('Données projet'!$B$9,Paramètres!$A$1:$I$89,3,0)*VLOOKUP('Données projet'!$B$9,Paramètres!$A$1:$I$89,5,0)</f>
        <v>48.859199999999987</v>
      </c>
      <c r="P33" s="13">
        <f t="shared" si="33"/>
        <v>14.318748507569309</v>
      </c>
      <c r="Q33" s="20">
        <f t="shared" si="2"/>
        <v>110.03492698401652</v>
      </c>
      <c r="R33" s="59">
        <f t="shared" si="0"/>
        <v>403.36826031734984</v>
      </c>
      <c r="S33" s="59">
        <f ca="1">AVERAGE(OFFSET($R$3,0,0,'Données projet'!$E$9+1,1))-AVERAGE(OFFSET($H$3,0,0,'Données projet'!$E$9+1,1))</f>
        <v>138.8931001150624</v>
      </c>
      <c r="T33" s="59">
        <f t="shared" si="34"/>
        <v>48.964659354096625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10.199999999999999</v>
      </c>
      <c r="AH33" s="12">
        <f t="array" ref="AH33">INDEX(AG:AG,MIN(IF(ISNUMBER(AG33:AG229),ROW(AG33:AG229),"")))</f>
        <v>10.199999999999999</v>
      </c>
      <c r="AI33" s="13">
        <f>IF('Données projet'!$A$62&gt;35,AI32+AH33-AQ32,IF(A33&lt;'Données projet'!$A$62,$AF$205^A33,IF(A33='Données projet'!$A$62,'Données projet'!$B$62,AI32+AH33-AQ32)))</f>
        <v>174.99999999999997</v>
      </c>
      <c r="AJ33" s="13">
        <f>AI33*VLOOKUP('Données projet'!$B$10,Paramètres!$A$1:$I$89,3,0)*VLOOKUP('Données projet'!$B$10,Paramètres!$A$1:$I$89,5,0)</f>
        <v>152.88</v>
      </c>
      <c r="AK33" s="13">
        <f t="shared" si="35"/>
        <v>39.232349774697852</v>
      </c>
      <c r="AL33" s="20">
        <f t="shared" si="4"/>
        <v>334.59567585759874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191.94797389630673</v>
      </c>
      <c r="AO33" s="59">
        <f t="shared" si="36"/>
        <v>273.52540822767878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2.5746599702109214</v>
      </c>
      <c r="AV33" s="21">
        <f>EXP(-LN(2)/25)*AV32+(1-EXP(-LN(2)/25))/(LN(2)/25)*Calculateur!AQ33*Calculateur!AS33*VLOOKUP('Données projet'!$B$10,Paramètres!$A$1:$I$89,3,0)*0.475*44/12</f>
        <v>14.048151048372484</v>
      </c>
      <c r="AW33" s="21">
        <f>EXP(-LN(2)/2)*AW32+(1-EXP(-LN(2)/2))/(LN(2)/2)*AQ33*AT33*VLOOKUP('Données projet'!$B$10,Paramètres!$A$1:$I$89,3,0)*0.475*44/12</f>
        <v>23.203062919669375</v>
      </c>
      <c r="AX33" s="21">
        <f t="shared" si="6"/>
        <v>39.825873938252784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11.1</v>
      </c>
      <c r="BC33" s="12">
        <f t="array" ref="BC33">INDEX(BB:BB,MIN(IF(ISNUMBER(BB33:BB229),ROW(BB33:BB229),"")))</f>
        <v>11.1</v>
      </c>
      <c r="BD33" s="12">
        <f>IF('Données projet'!$A$88&gt;35,BD32+BC33-BL32,IF(A33&lt;'Données projet'!$A$88,$BA$205^A33,IF(A33='Données projet'!$A$88,'Données projet'!$B$88,BD32+BC33-BL32)))</f>
        <v>176.99999999999994</v>
      </c>
      <c r="BE33" s="13">
        <f>BD33*VLOOKUP('Données projet'!$B$11,Paramètres!$A$1:$I$89,3,0)*VLOOKUP('Données projet'!$B$11,Paramètres!$A$1:$I$89,5,0)</f>
        <v>110.44799999999996</v>
      </c>
      <c r="BF33" s="13">
        <f t="shared" si="37"/>
        <v>29.436511885319536</v>
      </c>
      <c r="BG33" s="20">
        <f t="shared" si="7"/>
        <v>243.63219153359816</v>
      </c>
      <c r="BH33" s="59">
        <f t="shared" si="8"/>
        <v>536.96552486693145</v>
      </c>
      <c r="BI33" s="59">
        <f ca="1">AVERAGE(OFFSET($BH$3,0,0,'Données projet'!$E$11+1,1))-AVERAGE(OFFSET($H$3,0,0,'Données projet'!$E$11+1,1))</f>
        <v>162.91481796710048</v>
      </c>
      <c r="BJ33" s="59">
        <f t="shared" si="38"/>
        <v>182.56192390367823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0.06</v>
      </c>
      <c r="BN33" s="16">
        <f>IF(ISNA(VLOOKUP(A33,'Données projet'!$A$87:$I$107,6,0)),0%,VLOOKUP(A33,'Données projet'!$A$87:$I$107,6,0)*VLOOKUP('Données projet'!$B$11,Paramètres!$A$1:$I$89,7,0))</f>
        <v>0.27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2.781328099852757</v>
      </c>
      <c r="BQ33" s="21">
        <f>EXP(-LN(2)/25)*BQ32+(1-EXP(-LN(2)/25))/(LN(2)/25)*Calculateur!BL33*Calculateur!BN33*VLOOKUP('Données projet'!$B$11,Paramètres!$A$1:$I$89,3,0)*0.475*44/12</f>
        <v>15.278597781528491</v>
      </c>
      <c r="BR33" s="21">
        <f>EXP(-LN(2)/2)*BR32+(1-EXP(-LN(2)/2))/(LN(2)/2)*BL33*BO33*VLOOKUP('Données projet'!$B$11,Paramètres!$A$1:$I$89,3,0)*0.475*44/12</f>
        <v>17.969715405657418</v>
      </c>
      <c r="BS33" s="22">
        <f t="shared" si="9"/>
        <v>36.029641287038665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173.1</v>
      </c>
      <c r="BW33" s="12">
        <f>VLOOKUP(A33,'Données projet'!$A$113:$I$133,9,0)</f>
        <v>6.5</v>
      </c>
      <c r="BX33" s="12">
        <f t="array" ref="BX33">INDEX(BW:BW,MIN(IF(ISNUMBER(BW33:BW229),ROW(BW33:BW229),"")))</f>
        <v>6.5</v>
      </c>
      <c r="BY33" s="12">
        <f>IF('Données projet'!$A$114&gt;35,BY32+BX33-CG32,IF(A33&lt;'Données projet'!$A$114,$BV$205^A33,IF(A33='Données projet'!$A$114,'Données projet'!$B$114,BY32+BX33-CG32)))</f>
        <v>173.1</v>
      </c>
      <c r="BZ33" s="13">
        <f>BY33*VLOOKUP('Données projet'!$B$12,Paramètres!$A$1:$I$89,3,0)*VLOOKUP('Données projet'!$B$12,Paramètres!$A$1:$I$89,5,0)</f>
        <v>81.010800000000003</v>
      </c>
      <c r="CA33" s="13">
        <f t="shared" si="39"/>
        <v>22.384149091932141</v>
      </c>
      <c r="CB33" s="20">
        <f t="shared" si="10"/>
        <v>180.07953633511514</v>
      </c>
      <c r="CC33" s="59">
        <f t="shared" si="11"/>
        <v>473.41286966844848</v>
      </c>
      <c r="CD33" s="59">
        <f ca="1">AVERAGE(OFFSET($CC$3,0,0,'Données projet'!$E$12+1,1))-AVERAGE(OFFSET($H$3,0,0,'Données projet'!$E$12+1,1))</f>
        <v>123.60520571614535</v>
      </c>
      <c r="CE33" s="59">
        <f t="shared" si="40"/>
        <v>119.00926870519527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25.4</v>
      </c>
      <c r="CH33" s="16">
        <f>IF(ISNA(VLOOKUP(A33,'Données projet'!$A$113:$I$133,5,0)),0%,VLOOKUP(A33,'Données projet'!$A$113:$I$133,5,0)*VLOOKUP('Données projet'!$B$12,Paramètres!$A$1:$I$89,7,0))</f>
        <v>5.5000000000000007E-2</v>
      </c>
      <c r="CI33" s="16">
        <f>IF(ISNA(VLOOKUP(A33,'Données projet'!$A$113:$I$133,6,0)),0%,VLOOKUP(A33,'Données projet'!$A$113:$I$133,6,0)*VLOOKUP('Données projet'!$B$12,Paramètres!$A$1:$I$89,7,0))</f>
        <v>0.24750000000000003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0.86730253470854979</v>
      </c>
      <c r="CL33" s="21">
        <f>EXP(-LN(2)/25)*CL32+(1-EXP(-LN(2)/25))/(LN(2)/25)*Calculateur!CG33*Calculateur!CI33*VLOOKUP('Données projet'!$B$12,Paramètres!$A$1:$I$89,3,0)*0.475*44/12</f>
        <v>4.7767582032374722</v>
      </c>
      <c r="CM33" s="21">
        <f>EXP(-LN(2)/2)*CM32+(1-EXP(-LN(2)/2))/(LN(2)/2)*CG33*CJ33*VLOOKUP('Données projet'!$B$12,Paramètres!$A$1:$I$89,3,0)*0.475*44/12</f>
        <v>6.1137104910825419</v>
      </c>
      <c r="CN33" s="22">
        <f t="shared" si="12"/>
        <v>11.757771229028563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56.440799999999989</v>
      </c>
      <c r="CV33" s="13">
        <f t="shared" si="41"/>
        <v>16.265214007173903</v>
      </c>
      <c r="CW33" s="20">
        <f t="shared" si="13"/>
        <v>126.62964106249451</v>
      </c>
      <c r="CX33" s="59">
        <f t="shared" si="14"/>
        <v>419.96297439582781</v>
      </c>
      <c r="CY33" s="59">
        <f ca="1">AVERAGE(OFFSET($CX$3,0,0,'Données projet'!$E$13+1,1))-AVERAGE(OFFSET($H$3,0,0,'Données projet'!$E$13+1,1))</f>
        <v>177.94336949486529</v>
      </c>
      <c r="CZ33" s="59">
        <f t="shared" si="42"/>
        <v>65.559373432574603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164</v>
      </c>
      <c r="DM33" s="12">
        <f>VLOOKUP(A33,'Données projet'!$A$165:$I$185,9,0)</f>
        <v>10.199999999999999</v>
      </c>
      <c r="DN33" s="12">
        <f t="array" ref="DN33">INDEX(DM:DM,MIN(IF(ISNUMBER(DM33:DM229),ROW(DM33:DM229),"")))</f>
        <v>10.199999999999999</v>
      </c>
      <c r="DO33" s="12">
        <f>IF('Données projet'!$A$166&gt;35,DO32+DN33-DW32,IF(A33&lt;'Données projet'!$A$166,$DL$205^A33,IF(A33='Données projet'!$A$166,'Données projet'!$B$166,DO32+DN33-DW32)))</f>
        <v>163.99999999999997</v>
      </c>
      <c r="DP33" s="17">
        <f>DO33*VLOOKUP('Données projet'!$B$14,Paramètres!$A$1:$I$89,3,0)*VLOOKUP('Données projet'!$B$14,Paramètres!$A$1:$I$89,5,0)</f>
        <v>98.071999999999989</v>
      </c>
      <c r="DQ33" s="13">
        <f t="shared" si="43"/>
        <v>26.50215899830313</v>
      </c>
      <c r="DR33" s="20">
        <f t="shared" si="16"/>
        <v>216.96666025537795</v>
      </c>
      <c r="DS33" s="59">
        <f t="shared" si="17"/>
        <v>510.29999358871123</v>
      </c>
      <c r="DT33" s="59">
        <f ca="1">AVERAGE(OFFSET($DS$3,0,0,'Données projet'!$E$14+1,1))-AVERAGE(OFFSET($H$3,0,0,'Données projet'!$E$14+1,1))</f>
        <v>165.39579887388538</v>
      </c>
      <c r="DU33" s="59">
        <f t="shared" si="44"/>
        <v>155.89639262545802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41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0.22500000000000001</v>
      </c>
      <c r="DZ33" s="16">
        <f>IF(ISNA(VLOOKUP(A33,'Données projet'!$A$165:$I$185,7,0)),0%,VLOOKUP(A33,'Données projet'!$A$165:$I$185,7,0))</f>
        <v>0.5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7.2892451593954739</v>
      </c>
      <c r="EC33" s="21">
        <f>EXP(-LN(2)/2)*EC32+(1-EXP(-LN(2)/2))/(LN(2)/2)*DW33*DZ33*VLOOKUP('Données projet'!$B$14,Paramètres!$A$1:$I$89,3,0)*0.475*44/12</f>
        <v>13.880035735376948</v>
      </c>
      <c r="ED33" s="22">
        <f t="shared" si="18"/>
        <v>21.16928089477242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260</v>
      </c>
      <c r="EH33" s="12">
        <f>VLOOKUP(A33,'Données projet'!$A$191:$I$211,9,0)</f>
        <v>19</v>
      </c>
      <c r="EI33" s="12">
        <f t="array" ref="EI33">INDEX(EH:EH,MIN(IF(ISNUMBER(EH33:EH229),ROW(EH33:EH229),"")))</f>
        <v>19</v>
      </c>
      <c r="EJ33" s="12">
        <f>IF('Données projet'!$A$192&gt;35,EJ32+EI33-ER32,IF(A33&lt;'Données projet'!$A$192,$EG$205^A33,IF(A33='Données projet'!$A$192,'Données projet'!$B$192,EJ32+EI33-ER32)))</f>
        <v>260</v>
      </c>
      <c r="EK33" s="17">
        <f>EJ33*VLOOKUP('Données projet'!$B$15,Paramètres!$A$1:$I$89,3,0)*VLOOKUP('Données projet'!$B$15,Paramètres!$A$1:$I$89,5,0)</f>
        <v>125.06</v>
      </c>
      <c r="EL33" s="13">
        <f t="shared" si="45"/>
        <v>32.852309422756704</v>
      </c>
      <c r="EM33" s="20">
        <f t="shared" si="19"/>
        <v>275.03060557796795</v>
      </c>
      <c r="EN33" s="59">
        <f t="shared" si="20"/>
        <v>568.36393891130126</v>
      </c>
      <c r="EO33" s="59">
        <f ca="1">AVERAGE(OFFSET($EN$3,0,0,'Données projet'!$E$15+1,1))-AVERAGE(OFFSET($H$3,0,0,'Données projet'!$E$15+1,1))</f>
        <v>252.30925789500111</v>
      </c>
      <c r="EP33" s="59">
        <f t="shared" si="46"/>
        <v>213.96033794804805</v>
      </c>
      <c r="EQ33" s="15">
        <f>IF(ISNA(VLOOKUP(A33,'Données projet'!$A$191:$I$211,3,0)),0,VLOOKUP(A33,'Données projet'!$A$191:$I$211,3,0))</f>
        <v>1</v>
      </c>
      <c r="ER33" s="15">
        <f>IF(ISNA(VLOOKUP(A33,'Données projet'!$A$191:$I$211,4,0)),0,VLOOKUP(A33,'Données projet'!$A$191:$I$211,4,0))</f>
        <v>66</v>
      </c>
      <c r="ES33" s="16">
        <f>IF(ISNA(VLOOKUP(A33,'Données projet'!$A$191:$I$211,5,0)),0%,VLOOKUP(A33,'Données projet'!$A$191:$I$211,5,0)*VLOOKUP('Données projet'!$B$15,Paramètres!$A$1:$I$89,7,0))</f>
        <v>0.11000000000000001</v>
      </c>
      <c r="ET33" s="16">
        <f>IF(ISNA(VLOOKUP(A33,'Données projet'!$A$191:$I$211,6,0)),0%,VLOOKUP(A33,'Données projet'!$A$191:$I$211,6,0)*VLOOKUP('Données projet'!$B$15,Paramètres!$A$1:$I$89,7,0))</f>
        <v>0.22000000000000003</v>
      </c>
      <c r="EU33" s="16">
        <f>IF(ISNA(VLOOKUP(A33,'Données projet'!$A$191:$I$211,7,0)),0%,VLOOKUP(A33,'Données projet'!$A$191:$I$211,7,0))</f>
        <v>0.4</v>
      </c>
      <c r="EV33" s="21">
        <f>EXP(-LN(2)/35)*EV32+(1-EXP(-LN(2)/35))/(LN(2)/35)*ER33*ES33*VLOOKUP('Données projet'!$B$15,Paramètres!$A$1:$I$89,3,0)*0.475*44/12</f>
        <v>4.6324426722622016</v>
      </c>
      <c r="EW33" s="21">
        <f>EXP(-LN(2)/25)*EW32+(1-EXP(-LN(2)/25))/(LN(2)/25)*Calculateur!ER33*Calculateur!ET33*VLOOKUP('Données projet'!$B$15,Paramètres!$A$1:$I$89,3,0)*0.475*44/12</f>
        <v>9.2284059607249294</v>
      </c>
      <c r="EX33" s="21">
        <f>EXP(-LN(2)/2)*EX32+(1-EXP(-LN(2)/2))/(LN(2)/2)*ER33*EU33*VLOOKUP('Données projet'!$B$15,Paramètres!$A$1:$I$89,3,0)*0.475*44/12</f>
        <v>14.377538606910074</v>
      </c>
      <c r="EY33" s="22">
        <f t="shared" si="21"/>
        <v>28.238387239897207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260</v>
      </c>
      <c r="FC33" s="12">
        <f>VLOOKUP(A33,'Données projet'!$A$217:$I$237,9,0)</f>
        <v>19</v>
      </c>
      <c r="FD33" s="12">
        <f t="array" ref="FD33">INDEX(FC:FC,MIN(IF(ISNUMBER(FC33:FC229),ROW(FC33:FC229),"")))</f>
        <v>19</v>
      </c>
      <c r="FE33" s="12">
        <f>IF('Données projet'!$A$218&gt;35,FE32+FD33-FM32,IF(A33&lt;'Données projet'!$A$218,$FB$205^A33,IF(A33='Données projet'!$A$218,'Données projet'!$B$218,FE32+FD33-FM32)))</f>
        <v>260</v>
      </c>
      <c r="FF33" s="17">
        <f>FE33*VLOOKUP('Données projet'!$B$16,Paramètres!$A$1:$I$89,3,0)*VLOOKUP('Données projet'!$B$16,Paramètres!$A$1:$I$89,5,0)</f>
        <v>125.06</v>
      </c>
      <c r="FG33" s="13">
        <f t="shared" si="47"/>
        <v>32.852309422756704</v>
      </c>
      <c r="FH33" s="20">
        <f t="shared" si="22"/>
        <v>275.03060557796795</v>
      </c>
      <c r="FI33" s="59">
        <f t="shared" si="23"/>
        <v>568.36393891130126</v>
      </c>
      <c r="FJ33" s="59">
        <f ca="1">AVERAGE(OFFSET($FI$3,0,0,'Données projet'!$E$16+1,1))-AVERAGE(OFFSET($H$3,0,0,'Données projet'!$E$16+1,1))</f>
        <v>252.30925789500111</v>
      </c>
      <c r="FK33" s="59">
        <f t="shared" si="48"/>
        <v>213.96033794804805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66</v>
      </c>
      <c r="FN33" s="16">
        <f>IF(ISNA(VLOOKUP(A33,'Données projet'!$A$217:$I$237,5,0)),0%,VLOOKUP(A33,'Données projet'!$A$217:$I$237,5,0)*VLOOKUP('Données projet'!$B$16,Paramètres!$A$1:$I$89,7,0))</f>
        <v>0.11000000000000001</v>
      </c>
      <c r="FO33" s="16">
        <f>IF(ISNA(VLOOKUP(A33,'Données projet'!$A$217:$I$237,6,0)),0%,VLOOKUP(A33,'Données projet'!$A$217:$I$237,6,0)*VLOOKUP('Données projet'!$B$16,Paramètres!$A$1:$I$89,7,0))</f>
        <v>0.22000000000000003</v>
      </c>
      <c r="FP33" s="16">
        <f>IF(ISNA(VLOOKUP(A33,'Données projet'!$A$217:$I$237,7,0)),0%,VLOOKUP(A33,'Données projet'!$A$217:$I$237,7,0))</f>
        <v>0.4</v>
      </c>
      <c r="FQ33" s="21">
        <f>EXP(-LN(2)/35)*FQ32+(1-EXP(-LN(2)/35))/(LN(2)/35)*FM33*FN33*VLOOKUP('Données projet'!$B$16,Paramètres!$A$1:$I$89,3,0)*0.475*44/12</f>
        <v>4.6324426722622016</v>
      </c>
      <c r="FR33" s="21">
        <f>EXP(-LN(2)/25)*FR32+(1-EXP(-LN(2)/25))/(LN(2)/25)*Calculateur!FM33*Calculateur!FO33*VLOOKUP('Données projet'!$B$16,Paramètres!$A$1:$I$89,3,0)*0.475*44/12</f>
        <v>9.2284059607249294</v>
      </c>
      <c r="FS33" s="21">
        <f>EXP(-LN(2)/2)*FS32+(1-EXP(-LN(2)/2))/(LN(2)/2)*FM33*FP33*VLOOKUP('Données projet'!$B$16,Paramètres!$A$1:$I$89,3,0)*0.475*44/12</f>
        <v>14.377538606910074</v>
      </c>
      <c r="FT33" s="22">
        <f t="shared" si="24"/>
        <v>28.238387239897207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11.666666666666666</v>
      </c>
      <c r="FZ33" s="12">
        <f>IF('Données projet'!$A$244&gt;35,FZ32+FY33-GH32,IF(A33&lt;'Données projet'!$A$244,$FW$205^A33,IF(A33='Données projet'!$A$244,'Données projet'!$B$244,FZ32+FY33-GH32)))</f>
        <v>146.33333333333331</v>
      </c>
      <c r="GA33" s="17">
        <f>FZ33*VLOOKUP('Données projet'!$B$17,Paramètres!$A$1:$I$89,3,0)*VLOOKUP('Données projet'!$B$17,Paramètres!$A$1:$I$89,5,0)</f>
        <v>87.507333333333335</v>
      </c>
      <c r="GB33" s="13">
        <f t="shared" si="49"/>
        <v>23.963074638099123</v>
      </c>
      <c r="GC33" s="20">
        <f t="shared" si="25"/>
        <v>194.14429388357817</v>
      </c>
      <c r="GD33" s="59">
        <f t="shared" si="26"/>
        <v>487.47762721691151</v>
      </c>
      <c r="GE33" s="59">
        <f ca="1">AVERAGE(OFFSET($GD$3,0,0,'Données projet'!$E$17+1,1))-AVERAGE(OFFSET($H$3,0,0,'Données projet'!$E$17+1,1))</f>
        <v>117.54638373164624</v>
      </c>
      <c r="GF33" s="59">
        <f t="shared" si="50"/>
        <v>133.0740262536583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2.2122986831288811</v>
      </c>
      <c r="GM33" s="21">
        <f>EXP(-LN(2)/25)*GM32+(1-EXP(-LN(2)/25))/(LN(2)/25)*Calculateur!GH33*Calculateur!GJ33*VLOOKUP('Données projet'!$B$17,Paramètres!$A$1:$I$89,3,0)*0.475*44/12</f>
        <v>8.6555892028845598</v>
      </c>
      <c r="GN33" s="21">
        <f>EXP(-LN(2)/2)*GN32+(1-EXP(-LN(2)/2))/(LN(2)/2)*GH33*GK33*VLOOKUP('Données projet'!$B$17,Paramètres!$A$1:$I$89,3,0)*0.475*44/12</f>
        <v>4.0455226106769402</v>
      </c>
      <c r="GO33" s="21">
        <f t="shared" si="27"/>
        <v>14.913410496690382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2.8421709430404007E-14</v>
      </c>
      <c r="GV33" s="17">
        <f>GU33*VLOOKUP('Données projet'!$B$18,Paramètres!$A$1:$I$89,3,0)*VLOOKUP('Données projet'!$B$18,Paramètres!$A$1:$I$89,5,0)</f>
        <v>1.3567387213697657E-14</v>
      </c>
      <c r="GW33" s="13">
        <f t="shared" si="51"/>
        <v>2.5717320947985821E-13</v>
      </c>
      <c r="GX33" s="20">
        <f t="shared" si="28"/>
        <v>4.7153987257460977E-13</v>
      </c>
      <c r="GY33" s="59">
        <f t="shared" si="29"/>
        <v>293.33333333333377</v>
      </c>
      <c r="GZ33" s="59">
        <f ca="1">AVERAGE(OFFSET($GY$3,0,0,'Données projet'!$E$18+1,1))-AVERAGE(OFFSET($H$3,0,0,'Données projet'!$E$18+1,1))</f>
        <v>43.147469606759159</v>
      </c>
      <c r="HA33" s="59">
        <f t="shared" si="52"/>
        <v>147.46995307968473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36.062050766110048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0.55117945723618944</v>
      </c>
      <c r="HJ33" s="22">
        <f t="shared" si="30"/>
        <v>36.613230223346235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5.2</v>
      </c>
      <c r="N34" s="13">
        <f>IF('Données projet'!$A$36&gt;35,N33+M34-V33,IF(A34&lt;'Données projet'!$A$36,$K$205^A34,IF(A34='Données projet'!$A$36,'Données projet'!$B$36,N33+M34-V33)))</f>
        <v>59.199999999999989</v>
      </c>
      <c r="O34" s="13">
        <f>N34*VLOOKUP('Données projet'!$B$9,Paramètres!$A$1:$I$89,3,0)*VLOOKUP('Données projet'!$B$9,Paramètres!$A$1:$I$89,5,0)</f>
        <v>53.564159999999987</v>
      </c>
      <c r="P34" s="13">
        <f t="shared" si="33"/>
        <v>15.530498469746302</v>
      </c>
      <c r="Q34" s="20">
        <f t="shared" si="2"/>
        <v>120.3398635014748</v>
      </c>
      <c r="R34" s="59">
        <f t="shared" si="0"/>
        <v>413.6731968348081</v>
      </c>
      <c r="S34" s="59">
        <f ca="1">AVERAGE(OFFSET($R$3,0,0,'Données projet'!$E$9+1,1))-AVERAGE(OFFSET($H$3,0,0,'Données projet'!$E$9+1,1))</f>
        <v>138.8931001150624</v>
      </c>
      <c r="T34" s="59">
        <f t="shared" si="34"/>
        <v>48.964659354096625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8.6999999999999993</v>
      </c>
      <c r="AI34" s="13">
        <f>IF('Données projet'!$A$62&gt;35,AI33+AH34-AQ33,IF(A34&lt;'Données projet'!$A$62,$AF$205^A34,IF(A34='Données projet'!$A$62,'Données projet'!$B$62,AI33+AH34-AQ33)))</f>
        <v>121.69999999999996</v>
      </c>
      <c r="AJ34" s="13">
        <f>AI34*VLOOKUP('Données projet'!$B$10,Paramètres!$A$1:$I$89,3,0)*VLOOKUP('Données projet'!$B$10,Paramètres!$A$1:$I$89,5,0)</f>
        <v>106.31711999999999</v>
      </c>
      <c r="AK34" s="13">
        <f t="shared" si="35"/>
        <v>28.461557060551435</v>
      </c>
      <c r="AL34" s="20">
        <f t="shared" si="4"/>
        <v>234.7395292137937</v>
      </c>
      <c r="AM34" s="59">
        <f t="shared" si="5"/>
        <v>528.07286254712699</v>
      </c>
      <c r="AN34" s="59">
        <f ca="1">AVERAGE(OFFSET($AM$3,0,0,'Données projet'!$E$10+1,1))-AVERAGE(OFFSET($H$3,0,0,'Données projet'!$E$10+1,1))</f>
        <v>191.94797389630673</v>
      </c>
      <c r="AO34" s="59">
        <f t="shared" si="36"/>
        <v>273.52540822767878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2.524172458582604</v>
      </c>
      <c r="AV34" s="21">
        <f>EXP(-LN(2)/25)*AV33+(1-EXP(-LN(2)/25))/(LN(2)/25)*Calculateur!AQ34*Calculateur!AS34*VLOOKUP('Données projet'!$B$10,Paramètres!$A$1:$I$89,3,0)*0.475*44/12</f>
        <v>13.664003619194581</v>
      </c>
      <c r="AW34" s="21">
        <f>EXP(-LN(2)/2)*AW33+(1-EXP(-LN(2)/2))/(LN(2)/2)*AQ34*AT34*VLOOKUP('Données projet'!$B$10,Paramètres!$A$1:$I$89,3,0)*0.475*44/12</f>
        <v>16.407043134796346</v>
      </c>
      <c r="AX34" s="21">
        <f t="shared" si="6"/>
        <v>32.595219212573532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11.3</v>
      </c>
      <c r="BD34" s="12">
        <f>IF('Données projet'!$A$88&gt;35,BD33+BC34-BL33,IF(A34&lt;'Données projet'!$A$88,$BA$205^A34,IF(A34='Données projet'!$A$88,'Données projet'!$B$88,BD33+BC34-BL33)))</f>
        <v>132.29999999999995</v>
      </c>
      <c r="BE34" s="13">
        <f>BD34*VLOOKUP('Données projet'!$B$11,Paramètres!$A$1:$I$89,3,0)*VLOOKUP('Données projet'!$B$11,Paramètres!$A$1:$I$89,5,0)</f>
        <v>82.555199999999971</v>
      </c>
      <c r="BF34" s="13">
        <f t="shared" si="37"/>
        <v>22.760796016854769</v>
      </c>
      <c r="BG34" s="20">
        <f t="shared" si="7"/>
        <v>183.42535972935534</v>
      </c>
      <c r="BH34" s="59">
        <f t="shared" si="8"/>
        <v>476.75869306268862</v>
      </c>
      <c r="BI34" s="59">
        <f ca="1">AVERAGE(OFFSET($BH$3,0,0,'Données projet'!$E$11+1,1))-AVERAGE(OFFSET($H$3,0,0,'Données projet'!$E$11+1,1))</f>
        <v>162.91481796710048</v>
      </c>
      <c r="BJ34" s="59">
        <f t="shared" si="38"/>
        <v>182.56192390367823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2.7267879522572755</v>
      </c>
      <c r="BQ34" s="21">
        <f>EXP(-LN(2)/25)*BQ33+(1-EXP(-LN(2)/25))/(LN(2)/25)*Calculateur!BL34*Calculateur!BN34*VLOOKUP('Données projet'!$B$11,Paramètres!$A$1:$I$89,3,0)*0.475*44/12</f>
        <v>14.860803721726057</v>
      </c>
      <c r="BR34" s="21">
        <f>EXP(-LN(2)/2)*BR33+(1-EXP(-LN(2)/2))/(LN(2)/2)*BL34*BO34*VLOOKUP('Données projet'!$B$11,Paramètres!$A$1:$I$89,3,0)*0.475*44/12</f>
        <v>12.706507619332733</v>
      </c>
      <c r="BS34" s="22">
        <f t="shared" si="9"/>
        <v>30.294099293316066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</v>
      </c>
      <c r="BY34" s="12">
        <f>IF('Données projet'!$A$114&gt;35,BY33+BX34-CG33,IF(A34&lt;'Données projet'!$A$114,$BV$205^A34,IF(A34='Données projet'!$A$114,'Données projet'!$B$114,BY33+BX34-CG33)))</f>
        <v>154.69999999999999</v>
      </c>
      <c r="BZ34" s="13">
        <f>BY34*VLOOKUP('Données projet'!$B$12,Paramètres!$A$1:$I$89,3,0)*VLOOKUP('Données projet'!$B$12,Paramètres!$A$1:$I$89,5,0)</f>
        <v>72.399599999999992</v>
      </c>
      <c r="CA34" s="13">
        <f t="shared" si="39"/>
        <v>20.268188832715463</v>
      </c>
      <c r="CB34" s="20">
        <f t="shared" si="10"/>
        <v>161.3963988836461</v>
      </c>
      <c r="CC34" s="59">
        <f t="shared" si="11"/>
        <v>454.72973221697941</v>
      </c>
      <c r="CD34" s="59">
        <f ca="1">AVERAGE(OFFSET($CC$3,0,0,'Données projet'!$E$12+1,1))-AVERAGE(OFFSET($H$3,0,0,'Données projet'!$E$12+1,1))</f>
        <v>123.60520571614535</v>
      </c>
      <c r="CE34" s="59">
        <f t="shared" si="40"/>
        <v>119.00926870519527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0.85029526100522668</v>
      </c>
      <c r="CL34" s="21">
        <f>EXP(-LN(2)/25)*CL33+(1-EXP(-LN(2)/25))/(LN(2)/25)*Calculateur!CG34*Calculateur!CI34*VLOOKUP('Données projet'!$B$12,Paramètres!$A$1:$I$89,3,0)*0.475*44/12</f>
        <v>4.6461374989711475</v>
      </c>
      <c r="CM34" s="21">
        <f>EXP(-LN(2)/2)*CM33+(1-EXP(-LN(2)/2))/(LN(2)/2)*CG34*CJ34*VLOOKUP('Données projet'!$B$12,Paramètres!$A$1:$I$89,3,0)*0.475*44/12</f>
        <v>4.3230461464558037</v>
      </c>
      <c r="CN34" s="22">
        <f t="shared" si="12"/>
        <v>9.8194789064321775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59.199999999999989</v>
      </c>
      <c r="CU34" s="17">
        <f>CT34*VLOOKUP('Données projet'!$B$13,Paramètres!$A$1:$I$89,3,0)*VLOOKUP('Données projet'!$B$13,Paramètres!$A$1:$I$89,5,0)</f>
        <v>61.875839999999997</v>
      </c>
      <c r="CV34" s="13">
        <f t="shared" si="41"/>
        <v>17.641687128939729</v>
      </c>
      <c r="CW34" s="20">
        <f t="shared" si="13"/>
        <v>138.49302641623669</v>
      </c>
      <c r="CX34" s="59">
        <f t="shared" si="14"/>
        <v>431.82635974956997</v>
      </c>
      <c r="CY34" s="59">
        <f ca="1">AVERAGE(OFFSET($CX$3,0,0,'Données projet'!$E$13+1,1))-AVERAGE(OFFSET($H$3,0,0,'Données projet'!$E$13+1,1))</f>
        <v>177.94336949486529</v>
      </c>
      <c r="CZ34" s="59">
        <f t="shared" si="42"/>
        <v>65.559373432574603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</v>
      </c>
      <c r="DO34" s="12">
        <f>IF('Données projet'!$A$166&gt;35,DO33+DN34-DW33,IF(A34&lt;'Données projet'!$A$166,$DL$205^A34,IF(A34='Données projet'!$A$166,'Données projet'!$B$166,DO33+DN34-DW33)))</f>
        <v>133.99999999999997</v>
      </c>
      <c r="DP34" s="17">
        <f>DO34*VLOOKUP('Données projet'!$B$14,Paramètres!$A$1:$I$89,3,0)*VLOOKUP('Données projet'!$B$14,Paramètres!$A$1:$I$89,5,0)</f>
        <v>80.131999999999991</v>
      </c>
      <c r="DQ34" s="13">
        <f t="shared" si="43"/>
        <v>22.169455717453161</v>
      </c>
      <c r="DR34" s="20">
        <f t="shared" si="16"/>
        <v>178.17503537456423</v>
      </c>
      <c r="DS34" s="59">
        <f t="shared" si="17"/>
        <v>471.50836870789755</v>
      </c>
      <c r="DT34" s="59">
        <f ca="1">AVERAGE(OFFSET($DS$3,0,0,'Données projet'!$E$14+1,1))-AVERAGE(OFFSET($H$3,0,0,'Données projet'!$E$14+1,1))</f>
        <v>165.39579887388538</v>
      </c>
      <c r="DU34" s="59">
        <f t="shared" si="44"/>
        <v>155.89639262545802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7.0899203671870614</v>
      </c>
      <c r="EC34" s="21">
        <f>EXP(-LN(2)/2)*EC33+(1-EXP(-LN(2)/2))/(LN(2)/2)*DW34*DZ34*VLOOKUP('Données projet'!$B$14,Paramètres!$A$1:$I$89,3,0)*0.475*44/12</f>
        <v>9.8146673915966485</v>
      </c>
      <c r="ED34" s="22">
        <f t="shared" si="18"/>
        <v>16.904587758783709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20.2</v>
      </c>
      <c r="EJ34" s="12">
        <f>IF('Données projet'!$A$192&gt;35,EJ33+EI34-ER33,IF(A34&lt;'Données projet'!$A$192,$EG$205^A34,IF(A34='Données projet'!$A$192,'Données projet'!$B$192,EJ33+EI34-ER33)))</f>
        <v>214.2</v>
      </c>
      <c r="EK34" s="17">
        <f>EJ34*VLOOKUP('Données projet'!$B$15,Paramètres!$A$1:$I$89,3,0)*VLOOKUP('Données projet'!$B$15,Paramètres!$A$1:$I$89,5,0)</f>
        <v>103.03019999999999</v>
      </c>
      <c r="EL34" s="13">
        <f t="shared" si="45"/>
        <v>27.682641911587602</v>
      </c>
      <c r="EM34" s="20">
        <f t="shared" si="19"/>
        <v>227.65819966268168</v>
      </c>
      <c r="EN34" s="59">
        <f t="shared" si="20"/>
        <v>520.99153299601494</v>
      </c>
      <c r="EO34" s="59">
        <f ca="1">AVERAGE(OFFSET($EN$3,0,0,'Données projet'!$E$15+1,1))-AVERAGE(OFFSET($H$3,0,0,'Données projet'!$E$15+1,1))</f>
        <v>252.30925789500111</v>
      </c>
      <c r="EP34" s="59">
        <f t="shared" si="46"/>
        <v>213.96033794804805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4.5416032969701741</v>
      </c>
      <c r="EW34" s="21">
        <f>EXP(-LN(2)/25)*EW33+(1-EXP(-LN(2)/25))/(LN(2)/25)*Calculateur!ER34*Calculateur!ET34*VLOOKUP('Données projet'!$B$15,Paramètres!$A$1:$I$89,3,0)*0.475*44/12</f>
        <v>8.9760547144281286</v>
      </c>
      <c r="EX34" s="21">
        <f>EXP(-LN(2)/2)*EX33+(1-EXP(-LN(2)/2))/(LN(2)/2)*ER34*EU34*VLOOKUP('Données projet'!$B$15,Paramètres!$A$1:$I$89,3,0)*0.475*44/12</f>
        <v>10.166455045717502</v>
      </c>
      <c r="EY34" s="22">
        <f t="shared" si="21"/>
        <v>23.684113057115805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20.2</v>
      </c>
      <c r="FE34" s="12">
        <f>IF('Données projet'!$A$218&gt;35,FE33+FD34-FM33,IF(A34&lt;'Données projet'!$A$218,$FB$205^A34,IF(A34='Données projet'!$A$218,'Données projet'!$B$218,FE33+FD34-FM33)))</f>
        <v>214.2</v>
      </c>
      <c r="FF34" s="17">
        <f>FE34*VLOOKUP('Données projet'!$B$16,Paramètres!$A$1:$I$89,3,0)*VLOOKUP('Données projet'!$B$16,Paramètres!$A$1:$I$89,5,0)</f>
        <v>103.03019999999999</v>
      </c>
      <c r="FG34" s="13">
        <f t="shared" si="47"/>
        <v>27.682641911587602</v>
      </c>
      <c r="FH34" s="20">
        <f t="shared" si="22"/>
        <v>227.65819966268168</v>
      </c>
      <c r="FI34" s="59">
        <f t="shared" si="23"/>
        <v>520.99153299601494</v>
      </c>
      <c r="FJ34" s="59">
        <f ca="1">AVERAGE(OFFSET($FI$3,0,0,'Données projet'!$E$16+1,1))-AVERAGE(OFFSET($H$3,0,0,'Données projet'!$E$16+1,1))</f>
        <v>252.30925789500111</v>
      </c>
      <c r="FK34" s="59">
        <f t="shared" si="48"/>
        <v>213.96033794804805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4.5416032969701741</v>
      </c>
      <c r="FR34" s="21">
        <f>EXP(-LN(2)/25)*FR33+(1-EXP(-LN(2)/25))/(LN(2)/25)*Calculateur!FM34*Calculateur!FO34*VLOOKUP('Données projet'!$B$16,Paramètres!$A$1:$I$89,3,0)*0.475*44/12</f>
        <v>8.9760547144281286</v>
      </c>
      <c r="FS34" s="21">
        <f>EXP(-LN(2)/2)*FS33+(1-EXP(-LN(2)/2))/(LN(2)/2)*FM34*FP34*VLOOKUP('Données projet'!$B$16,Paramètres!$A$1:$I$89,3,0)*0.475*44/12</f>
        <v>10.166455045717502</v>
      </c>
      <c r="FT34" s="22">
        <f t="shared" si="24"/>
        <v>23.684113057115805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11.666666666666666</v>
      </c>
      <c r="FZ34" s="12">
        <f>IF('Données projet'!$A$244&gt;35,FZ33+FY34-GH33,IF(A34&lt;'Données projet'!$A$244,$FW$205^A34,IF(A34='Données projet'!$A$244,'Données projet'!$B$244,FZ33+FY34-GH33)))</f>
        <v>157.99999999999997</v>
      </c>
      <c r="GA34" s="17">
        <f>FZ34*VLOOKUP('Données projet'!$B$17,Paramètres!$A$1:$I$89,3,0)*VLOOKUP('Données projet'!$B$17,Paramètres!$A$1:$I$89,5,0)</f>
        <v>94.483999999999995</v>
      </c>
      <c r="GB34" s="13">
        <f t="shared" si="49"/>
        <v>25.643578691511802</v>
      </c>
      <c r="GC34" s="20">
        <f t="shared" si="25"/>
        <v>209.22219955438302</v>
      </c>
      <c r="GD34" s="59">
        <f t="shared" si="26"/>
        <v>502.55553288771637</v>
      </c>
      <c r="GE34" s="59">
        <f ca="1">AVERAGE(OFFSET($GD$3,0,0,'Données projet'!$E$17+1,1))-AVERAGE(OFFSET($H$3,0,0,'Données projet'!$E$17+1,1))</f>
        <v>117.54638373164624</v>
      </c>
      <c r="GF34" s="59">
        <f t="shared" si="50"/>
        <v>133.0740262536583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2.1689168553216813</v>
      </c>
      <c r="GM34" s="21">
        <f>EXP(-LN(2)/25)*GM33+(1-EXP(-LN(2)/25))/(LN(2)/25)*Calculateur!GH34*Calculateur!GJ34*VLOOKUP('Données projet'!$B$17,Paramètres!$A$1:$I$89,3,0)*0.475*44/12</f>
        <v>8.4189016609540275</v>
      </c>
      <c r="GN34" s="21">
        <f>EXP(-LN(2)/2)*GN33+(1-EXP(-LN(2)/2))/(LN(2)/2)*GH34*GK34*VLOOKUP('Données projet'!$B$17,Paramètres!$A$1:$I$89,3,0)*0.475*44/12</f>
        <v>2.8606164714531697</v>
      </c>
      <c r="GO34" s="21">
        <f t="shared" si="27"/>
        <v>13.448434987728879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2.8421709430404007E-14</v>
      </c>
      <c r="GV34" s="17">
        <f>GU34*VLOOKUP('Données projet'!$B$18,Paramètres!$A$1:$I$89,3,0)*VLOOKUP('Données projet'!$B$18,Paramètres!$A$1:$I$89,5,0)</f>
        <v>1.3567387213697657E-14</v>
      </c>
      <c r="GW34" s="13">
        <f t="shared" si="51"/>
        <v>2.5717320947985821E-13</v>
      </c>
      <c r="GX34" s="20">
        <f t="shared" si="28"/>
        <v>4.7153987257460977E-13</v>
      </c>
      <c r="GY34" s="59">
        <f t="shared" si="29"/>
        <v>293.33333333333377</v>
      </c>
      <c r="GZ34" s="59">
        <f ca="1">AVERAGE(OFFSET($GY$3,0,0,'Données projet'!$E$18+1,1))-AVERAGE(OFFSET($H$3,0,0,'Données projet'!$E$18+1,1))</f>
        <v>43.147469606759159</v>
      </c>
      <c r="HA34" s="59">
        <f t="shared" si="52"/>
        <v>147.46995307968473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35.354895946265707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0.38974273186243025</v>
      </c>
      <c r="HJ34" s="22">
        <f t="shared" si="30"/>
        <v>35.74463867812814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5.2</v>
      </c>
      <c r="N35" s="13">
        <f>IF('Données projet'!$A$36&gt;35,N34+M35-V34,IF(A35&lt;'Données projet'!$A$36,$K$205^A35,IF(A35='Données projet'!$A$36,'Données projet'!$B$36,N34+M35-V34)))</f>
        <v>64.399999999999991</v>
      </c>
      <c r="O35" s="13">
        <f>N35*VLOOKUP('Données projet'!$B$9,Paramètres!$A$1:$I$89,3,0)*VLOOKUP('Données projet'!$B$9,Paramètres!$A$1:$I$89,5,0)</f>
        <v>58.269119999999987</v>
      </c>
      <c r="P35" s="13">
        <f t="shared" si="33"/>
        <v>16.729905486873804</v>
      </c>
      <c r="Q35" s="20">
        <f t="shared" ref="Q35:Q66" si="53">(O35+P35)*0.475*44/12</f>
        <v>130.62330272297186</v>
      </c>
      <c r="R35" s="59">
        <f t="shared" si="0"/>
        <v>423.95663605630517</v>
      </c>
      <c r="S35" s="59">
        <f ca="1">AVERAGE(OFFSET($R$3,0,0,'Données projet'!$E$9+1,1))-AVERAGE(OFFSET($H$3,0,0,'Données projet'!$E$9+1,1))</f>
        <v>138.8931001150624</v>
      </c>
      <c r="T35" s="59">
        <f t="shared" si="34"/>
        <v>48.964659354096625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8.6999999999999993</v>
      </c>
      <c r="AI35" s="13">
        <f>IF('Données projet'!$A$62&gt;35,AI34+AH35-AQ34,IF(A35&lt;'Données projet'!$A$62,$AF$205^A35,IF(A35='Données projet'!$A$62,'Données projet'!$B$62,AI34+AH35-AQ34)))</f>
        <v>130.39999999999995</v>
      </c>
      <c r="AJ35" s="13">
        <f>AI35*VLOOKUP('Données projet'!$B$10,Paramètres!$A$1:$I$89,3,0)*VLOOKUP('Données projet'!$B$10,Paramètres!$A$1:$I$89,5,0)</f>
        <v>113.91743999999996</v>
      </c>
      <c r="AK35" s="13">
        <f t="shared" si="35"/>
        <v>30.252075834566813</v>
      </c>
      <c r="AL35" s="20">
        <f t="shared" si="4"/>
        <v>251.0952400785371</v>
      </c>
      <c r="AM35" s="59">
        <f t="shared" si="5"/>
        <v>544.42857341187039</v>
      </c>
      <c r="AN35" s="59">
        <f ca="1">AVERAGE(OFFSET($AM$3,0,0,'Données projet'!$E$10+1,1))-AVERAGE(OFFSET($H$3,0,0,'Données projet'!$E$10+1,1))</f>
        <v>191.94797389630673</v>
      </c>
      <c r="AO35" s="59">
        <f t="shared" si="36"/>
        <v>273.52540822767878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2.4746749762629765</v>
      </c>
      <c r="AV35" s="21">
        <f>EXP(-LN(2)/25)*AV34+(1-EXP(-LN(2)/25))/(LN(2)/25)*Calculateur!AQ35*Calculateur!AS35*VLOOKUP('Données projet'!$B$10,Paramètres!$A$1:$I$89,3,0)*0.475*44/12</f>
        <v>13.290360721668984</v>
      </c>
      <c r="AW35" s="21">
        <f>EXP(-LN(2)/2)*AW34+(1-EXP(-LN(2)/2))/(LN(2)/2)*AQ35*AT35*VLOOKUP('Données projet'!$B$10,Paramètres!$A$1:$I$89,3,0)*0.475*44/12</f>
        <v>11.601531459834687</v>
      </c>
      <c r="AX35" s="21">
        <f t="shared" si="6"/>
        <v>27.366567157766646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11.3</v>
      </c>
      <c r="BD35" s="12">
        <f>IF('Données projet'!$A$88&gt;35,BD34+BC35-BL34,IF(A35&lt;'Données projet'!$A$88,$BA$205^A35,IF(A35='Données projet'!$A$88,'Données projet'!$B$88,BD34+BC35-BL34)))</f>
        <v>143.59999999999997</v>
      </c>
      <c r="BE35" s="13">
        <f>BD35*VLOOKUP('Données projet'!$B$11,Paramètres!$A$1:$I$89,3,0)*VLOOKUP('Données projet'!$B$11,Paramètres!$A$1:$I$89,5,0)</f>
        <v>89.606399999999979</v>
      </c>
      <c r="BF35" s="13">
        <f t="shared" si="37"/>
        <v>24.470273950824723</v>
      </c>
      <c r="BG35" s="20">
        <f t="shared" si="7"/>
        <v>198.683540464353</v>
      </c>
      <c r="BH35" s="59">
        <f t="shared" si="8"/>
        <v>492.01687379768634</v>
      </c>
      <c r="BI35" s="59">
        <f ca="1">AVERAGE(OFFSET($BH$3,0,0,'Données projet'!$E$11+1,1))-AVERAGE(OFFSET($H$3,0,0,'Données projet'!$E$11+1,1))</f>
        <v>162.91481796710048</v>
      </c>
      <c r="BJ35" s="59">
        <f t="shared" si="38"/>
        <v>182.56192390367823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2.6733173036899363</v>
      </c>
      <c r="BQ35" s="21">
        <f>EXP(-LN(2)/25)*BQ34+(1-EXP(-LN(2)/25))/(LN(2)/25)*Calculateur!BL35*Calculateur!BN35*VLOOKUP('Données projet'!$B$11,Paramètres!$A$1:$I$89,3,0)*0.475*44/12</f>
        <v>14.454434262459756</v>
      </c>
      <c r="BR35" s="21">
        <f>EXP(-LN(2)/2)*BR34+(1-EXP(-LN(2)/2))/(LN(2)/2)*BL35*BO35*VLOOKUP('Données projet'!$B$11,Paramètres!$A$1:$I$89,3,0)*0.475*44/12</f>
        <v>8.9848577028287107</v>
      </c>
      <c r="BS35" s="22">
        <f t="shared" si="9"/>
        <v>26.112609268978403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</v>
      </c>
      <c r="BY35" s="12">
        <f>IF('Données projet'!$A$114&gt;35,BY34+BX35-CG34,IF(A35&lt;'Données projet'!$A$114,$BV$205^A35,IF(A35='Données projet'!$A$114,'Données projet'!$B$114,BY34+BX35-CG34)))</f>
        <v>161.69999999999999</v>
      </c>
      <c r="BZ35" s="13">
        <f>BY35*VLOOKUP('Données projet'!$B$12,Paramètres!$A$1:$I$89,3,0)*VLOOKUP('Données projet'!$B$12,Paramètres!$A$1:$I$89,5,0)</f>
        <v>75.675600000000003</v>
      </c>
      <c r="CA35" s="13">
        <f t="shared" si="39"/>
        <v>21.076450566911173</v>
      </c>
      <c r="CB35" s="20">
        <f t="shared" si="10"/>
        <v>168.50982140403696</v>
      </c>
      <c r="CC35" s="59">
        <f t="shared" si="11"/>
        <v>461.84315473737024</v>
      </c>
      <c r="CD35" s="59">
        <f ca="1">AVERAGE(OFFSET($CC$3,0,0,'Données projet'!$E$12+1,1))-AVERAGE(OFFSET($H$3,0,0,'Données projet'!$E$12+1,1))</f>
        <v>123.60520571614535</v>
      </c>
      <c r="CE35" s="59">
        <f t="shared" si="40"/>
        <v>119.00926870519527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0.83362148956581306</v>
      </c>
      <c r="CL35" s="21">
        <f>EXP(-LN(2)/25)*CL34+(1-EXP(-LN(2)/25))/(LN(2)/25)*Calculateur!CG35*Calculateur!CI35*VLOOKUP('Données projet'!$B$12,Paramètres!$A$1:$I$89,3,0)*0.475*44/12</f>
        <v>4.5190886247320297</v>
      </c>
      <c r="CM35" s="21">
        <f>EXP(-LN(2)/2)*CM34+(1-EXP(-LN(2)/2))/(LN(2)/2)*CG35*CJ35*VLOOKUP('Données projet'!$B$12,Paramètres!$A$1:$I$89,3,0)*0.475*44/12</f>
        <v>3.0568552455412719</v>
      </c>
      <c r="CN35" s="22">
        <f t="shared" si="12"/>
        <v>8.4095653598391138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64.399999999999991</v>
      </c>
      <c r="CU35" s="17">
        <f>CT35*VLOOKUP('Données projet'!$B$13,Paramètres!$A$1:$I$89,3,0)*VLOOKUP('Données projet'!$B$13,Paramètres!$A$1:$I$89,5,0)</f>
        <v>67.310879999999997</v>
      </c>
      <c r="CV35" s="13">
        <f t="shared" si="41"/>
        <v>19.004139427405065</v>
      </c>
      <c r="CW35" s="20">
        <f t="shared" si="13"/>
        <v>150.33199216939713</v>
      </c>
      <c r="CX35" s="59">
        <f t="shared" si="14"/>
        <v>443.66532550273041</v>
      </c>
      <c r="CY35" s="59">
        <f ca="1">AVERAGE(OFFSET($CX$3,0,0,'Données projet'!$E$13+1,1))-AVERAGE(OFFSET($H$3,0,0,'Données projet'!$E$13+1,1))</f>
        <v>177.94336949486529</v>
      </c>
      <c r="CZ35" s="59">
        <f t="shared" si="42"/>
        <v>65.559373432574603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</v>
      </c>
      <c r="DO35" s="12">
        <f>IF('Données projet'!$A$166&gt;35,DO34+DN35-DW34,IF(A35&lt;'Données projet'!$A$166,$DL$205^A35,IF(A35='Données projet'!$A$166,'Données projet'!$B$166,DO34+DN35-DW34)))</f>
        <v>144.99999999999997</v>
      </c>
      <c r="DP35" s="17">
        <f>DO35*VLOOKUP('Données projet'!$B$14,Paramètres!$A$1:$I$89,3,0)*VLOOKUP('Données projet'!$B$14,Paramètres!$A$1:$I$89,5,0)</f>
        <v>86.71</v>
      </c>
      <c r="DQ35" s="13">
        <f t="shared" si="43"/>
        <v>23.770044666555087</v>
      </c>
      <c r="DR35" s="20">
        <f t="shared" si="16"/>
        <v>192.4194111275834</v>
      </c>
      <c r="DS35" s="59">
        <f t="shared" si="17"/>
        <v>485.75274446091669</v>
      </c>
      <c r="DT35" s="59">
        <f ca="1">AVERAGE(OFFSET($DS$3,0,0,'Données projet'!$E$14+1,1))-AVERAGE(OFFSET($H$3,0,0,'Données projet'!$E$14+1,1))</f>
        <v>165.39579887388538</v>
      </c>
      <c r="DU35" s="59">
        <f t="shared" si="44"/>
        <v>155.89639262545802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6.8960461219036233</v>
      </c>
      <c r="EC35" s="21">
        <f>EXP(-LN(2)/2)*EC34+(1-EXP(-LN(2)/2))/(LN(2)/2)*DW35*DZ35*VLOOKUP('Données projet'!$B$14,Paramètres!$A$1:$I$89,3,0)*0.475*44/12</f>
        <v>6.940017867688475</v>
      </c>
      <c r="ED35" s="22">
        <f t="shared" si="18"/>
        <v>13.836063989592098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20.2</v>
      </c>
      <c r="EJ35" s="12">
        <f>IF('Données projet'!$A$192&gt;35,EJ34+EI35-ER34,IF(A35&lt;'Données projet'!$A$192,$EG$205^A35,IF(A35='Données projet'!$A$192,'Données projet'!$B$192,EJ34+EI35-ER34)))</f>
        <v>234.39999999999998</v>
      </c>
      <c r="EK35" s="17">
        <f>EJ35*VLOOKUP('Données projet'!$B$15,Paramètres!$A$1:$I$89,3,0)*VLOOKUP('Données projet'!$B$15,Paramètres!$A$1:$I$89,5,0)</f>
        <v>112.74639999999999</v>
      </c>
      <c r="EL35" s="13">
        <f t="shared" si="45"/>
        <v>29.977126197043795</v>
      </c>
      <c r="EM35" s="20">
        <f t="shared" si="19"/>
        <v>248.5768081265179</v>
      </c>
      <c r="EN35" s="59">
        <f t="shared" si="20"/>
        <v>541.91014145985127</v>
      </c>
      <c r="EO35" s="59">
        <f ca="1">AVERAGE(OFFSET($EN$3,0,0,'Données projet'!$E$15+1,1))-AVERAGE(OFFSET($H$3,0,0,'Données projet'!$E$15+1,1))</f>
        <v>252.30925789500111</v>
      </c>
      <c r="EP35" s="59">
        <f t="shared" si="46"/>
        <v>213.96033794804805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4.4525452264210754</v>
      </c>
      <c r="EW35" s="21">
        <f>EXP(-LN(2)/25)*EW34+(1-EXP(-LN(2)/25))/(LN(2)/25)*Calculateur!ER35*Calculateur!ET35*VLOOKUP('Données projet'!$B$15,Paramètres!$A$1:$I$89,3,0)*0.475*44/12</f>
        <v>8.7306040262318891</v>
      </c>
      <c r="EX35" s="21">
        <f>EXP(-LN(2)/2)*EX34+(1-EXP(-LN(2)/2))/(LN(2)/2)*ER35*EU35*VLOOKUP('Données projet'!$B$15,Paramètres!$A$1:$I$89,3,0)*0.475*44/12</f>
        <v>7.1887693034550377</v>
      </c>
      <c r="EY35" s="22">
        <f t="shared" si="21"/>
        <v>20.371918556108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20.2</v>
      </c>
      <c r="FE35" s="12">
        <f>IF('Données projet'!$A$218&gt;35,FE34+FD35-FM34,IF(A35&lt;'Données projet'!$A$218,$FB$205^A35,IF(A35='Données projet'!$A$218,'Données projet'!$B$218,FE34+FD35-FM34)))</f>
        <v>234.39999999999998</v>
      </c>
      <c r="FF35" s="17">
        <f>FE35*VLOOKUP('Données projet'!$B$16,Paramètres!$A$1:$I$89,3,0)*VLOOKUP('Données projet'!$B$16,Paramètres!$A$1:$I$89,5,0)</f>
        <v>112.74639999999999</v>
      </c>
      <c r="FG35" s="13">
        <f t="shared" si="47"/>
        <v>29.977126197043795</v>
      </c>
      <c r="FH35" s="20">
        <f t="shared" si="22"/>
        <v>248.5768081265179</v>
      </c>
      <c r="FI35" s="59">
        <f t="shared" si="23"/>
        <v>541.91014145985127</v>
      </c>
      <c r="FJ35" s="59">
        <f ca="1">AVERAGE(OFFSET($FI$3,0,0,'Données projet'!$E$16+1,1))-AVERAGE(OFFSET($H$3,0,0,'Données projet'!$E$16+1,1))</f>
        <v>252.30925789500111</v>
      </c>
      <c r="FK35" s="59">
        <f t="shared" si="48"/>
        <v>213.96033794804805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4.4525452264210754</v>
      </c>
      <c r="FR35" s="21">
        <f>EXP(-LN(2)/25)*FR34+(1-EXP(-LN(2)/25))/(LN(2)/25)*Calculateur!FM35*Calculateur!FO35*VLOOKUP('Données projet'!$B$16,Paramètres!$A$1:$I$89,3,0)*0.475*44/12</f>
        <v>8.7306040262318891</v>
      </c>
      <c r="FS35" s="21">
        <f>EXP(-LN(2)/2)*FS34+(1-EXP(-LN(2)/2))/(LN(2)/2)*FM35*FP35*VLOOKUP('Données projet'!$B$16,Paramètres!$A$1:$I$89,3,0)*0.475*44/12</f>
        <v>7.1887693034550377</v>
      </c>
      <c r="FT35" s="22">
        <f t="shared" si="24"/>
        <v>20.371918556108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11.666666666666666</v>
      </c>
      <c r="FZ35" s="12">
        <f>IF('Données projet'!$A$244&gt;35,FZ34+FY35-GH34,IF(A35&lt;'Données projet'!$A$244,$FW$205^A35,IF(A35='Données projet'!$A$244,'Données projet'!$B$244,FZ34+FY35-GH34)))</f>
        <v>169.66666666666663</v>
      </c>
      <c r="GA35" s="17">
        <f>FZ35*VLOOKUP('Données projet'!$B$17,Paramètres!$A$1:$I$89,3,0)*VLOOKUP('Données projet'!$B$17,Paramètres!$A$1:$I$89,5,0)</f>
        <v>101.46066666666665</v>
      </c>
      <c r="GB35" s="13">
        <f t="shared" si="49"/>
        <v>27.309687011536219</v>
      </c>
      <c r="GC35" s="20">
        <f t="shared" si="25"/>
        <v>224.27503265620331</v>
      </c>
      <c r="GD35" s="59">
        <f t="shared" si="26"/>
        <v>517.60836598953665</v>
      </c>
      <c r="GE35" s="59">
        <f ca="1">AVERAGE(OFFSET($GD$3,0,0,'Données projet'!$E$17+1,1))-AVERAGE(OFFSET($H$3,0,0,'Données projet'!$E$17+1,1))</f>
        <v>117.54638373164624</v>
      </c>
      <c r="GF35" s="59">
        <f t="shared" si="50"/>
        <v>133.0740262536583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2.1263857186974784</v>
      </c>
      <c r="GM35" s="21">
        <f>EXP(-LN(2)/25)*GM34+(1-EXP(-LN(2)/25))/(LN(2)/25)*Calculateur!GH35*Calculateur!GJ35*VLOOKUP('Données projet'!$B$17,Paramètres!$A$1:$I$89,3,0)*0.475*44/12</f>
        <v>8.1886863523044422</v>
      </c>
      <c r="GN35" s="21">
        <f>EXP(-LN(2)/2)*GN34+(1-EXP(-LN(2)/2))/(LN(2)/2)*GH35*GK35*VLOOKUP('Données projet'!$B$17,Paramètres!$A$1:$I$89,3,0)*0.475*44/12</f>
        <v>2.0227613053384701</v>
      </c>
      <c r="GO35" s="21">
        <f t="shared" si="27"/>
        <v>12.337833376340392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2.8421709430404007E-14</v>
      </c>
      <c r="GV35" s="17">
        <f>GU35*VLOOKUP('Données projet'!$B$18,Paramètres!$A$1:$I$89,3,0)*VLOOKUP('Données projet'!$B$18,Paramètres!$A$1:$I$89,5,0)</f>
        <v>1.3567387213697657E-14</v>
      </c>
      <c r="GW35" s="13">
        <f t="shared" si="51"/>
        <v>2.5717320947985821E-13</v>
      </c>
      <c r="GX35" s="20">
        <f t="shared" si="28"/>
        <v>4.7153987257460977E-13</v>
      </c>
      <c r="GY35" s="59">
        <f t="shared" si="29"/>
        <v>293.33333333333377</v>
      </c>
      <c r="GZ35" s="59">
        <f ca="1">AVERAGE(OFFSET($GY$3,0,0,'Données projet'!$E$18+1,1))-AVERAGE(OFFSET($H$3,0,0,'Données projet'!$E$18+1,1))</f>
        <v>43.147469606759159</v>
      </c>
      <c r="HA35" s="59">
        <f t="shared" si="52"/>
        <v>147.46995307968473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34.661608001116662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0.27558972861809472</v>
      </c>
      <c r="HJ35" s="22">
        <f t="shared" si="30"/>
        <v>34.937197729734756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5.2</v>
      </c>
      <c r="N36" s="13">
        <f>IF('Données projet'!$A$36&gt;35,N35+M36-V35,IF(A36&lt;'Données projet'!$A$36,$K$205^A36,IF(A36='Données projet'!$A$36,'Données projet'!$B$36,N35+M36-V35)))</f>
        <v>69.599999999999994</v>
      </c>
      <c r="O36" s="13">
        <f>N36*VLOOKUP('Données projet'!$B$9,Paramètres!$A$1:$I$89,3,0)*VLOOKUP('Données projet'!$B$9,Paramètres!$A$1:$I$89,5,0)</f>
        <v>62.974079999999994</v>
      </c>
      <c r="P36" s="13">
        <f t="shared" si="33"/>
        <v>17.91807950185715</v>
      </c>
      <c r="Q36" s="20">
        <f t="shared" si="53"/>
        <v>140.88717779906787</v>
      </c>
      <c r="R36" s="59">
        <f t="shared" si="0"/>
        <v>434.22051113240116</v>
      </c>
      <c r="S36" s="59">
        <f ca="1">AVERAGE(OFFSET($R$3,0,0,'Données projet'!$E$9+1,1))-AVERAGE(OFFSET($H$3,0,0,'Données projet'!$E$9+1,1))</f>
        <v>138.8931001150624</v>
      </c>
      <c r="T36" s="59">
        <f t="shared" si="34"/>
        <v>48.964659354096625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8.6999999999999993</v>
      </c>
      <c r="AI36" s="13">
        <f>IF('Données projet'!$A$62&gt;35,AI35+AH36-AQ35,IF(A36&lt;'Données projet'!$A$62,$AF$205^A36,IF(A36='Données projet'!$A$62,'Données projet'!$B$62,AI35+AH36-AQ35)))</f>
        <v>139.09999999999994</v>
      </c>
      <c r="AJ36" s="13">
        <f>AI36*VLOOKUP('Données projet'!$B$10,Paramètres!$A$1:$I$89,3,0)*VLOOKUP('Données projet'!$B$10,Paramètres!$A$1:$I$89,5,0)</f>
        <v>121.51775999999997</v>
      </c>
      <c r="AK36" s="13">
        <f t="shared" si="35"/>
        <v>32.028732529244031</v>
      </c>
      <c r="AL36" s="20">
        <f t="shared" si="4"/>
        <v>267.42680782176666</v>
      </c>
      <c r="AM36" s="59">
        <f t="shared" si="5"/>
        <v>560.76014115509997</v>
      </c>
      <c r="AN36" s="59">
        <f ca="1">AVERAGE(OFFSET($AM$3,0,0,'Données projet'!$E$10+1,1))-AVERAGE(OFFSET($H$3,0,0,'Données projet'!$E$10+1,1))</f>
        <v>191.94797389630673</v>
      </c>
      <c r="AO36" s="59">
        <f t="shared" si="36"/>
        <v>273.52540822767878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2.4261481093811539</v>
      </c>
      <c r="AV36" s="21">
        <f>EXP(-LN(2)/25)*AV35+(1-EXP(-LN(2)/25))/(LN(2)/25)*Calculateur!AQ36*Calculateur!AS36*VLOOKUP('Données projet'!$B$10,Paramètres!$A$1:$I$89,3,0)*0.475*44/12</f>
        <v>12.926935108825251</v>
      </c>
      <c r="AW36" s="21">
        <f>EXP(-LN(2)/2)*AW35+(1-EXP(-LN(2)/2))/(LN(2)/2)*AQ36*AT36*VLOOKUP('Données projet'!$B$10,Paramètres!$A$1:$I$89,3,0)*0.475*44/12</f>
        <v>8.2035215673981732</v>
      </c>
      <c r="AX36" s="21">
        <f t="shared" si="6"/>
        <v>23.556604785604577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11.3</v>
      </c>
      <c r="BD36" s="12">
        <f>IF('Données projet'!$A$88&gt;35,BD35+BC36-BL35,IF(A36&lt;'Données projet'!$A$88,$BA$205^A36,IF(A36='Données projet'!$A$88,'Données projet'!$B$88,BD35+BC36-BL35)))</f>
        <v>154.89999999999998</v>
      </c>
      <c r="BE36" s="13">
        <f>BD36*VLOOKUP('Données projet'!$B$11,Paramètres!$A$1:$I$89,3,0)*VLOOKUP('Données projet'!$B$11,Paramètres!$A$1:$I$89,5,0)</f>
        <v>96.657599999999988</v>
      </c>
      <c r="BF36" s="13">
        <f t="shared" si="37"/>
        <v>26.164148237963502</v>
      </c>
      <c r="BG36" s="20">
        <f t="shared" si="7"/>
        <v>213.9145448477864</v>
      </c>
      <c r="BH36" s="59">
        <f t="shared" si="8"/>
        <v>507.24787818111975</v>
      </c>
      <c r="BI36" s="59">
        <f ca="1">AVERAGE(OFFSET($BH$3,0,0,'Données projet'!$E$11+1,1))-AVERAGE(OFFSET($H$3,0,0,'Données projet'!$E$11+1,1))</f>
        <v>162.91481796710048</v>
      </c>
      <c r="BJ36" s="59">
        <f t="shared" si="38"/>
        <v>182.56192390367823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2.6208951819271271</v>
      </c>
      <c r="BQ36" s="21">
        <f>EXP(-LN(2)/25)*BQ35+(1-EXP(-LN(2)/25))/(LN(2)/25)*Calculateur!BL36*Calculateur!BN36*VLOOKUP('Données projet'!$B$11,Paramètres!$A$1:$I$89,3,0)*0.475*44/12</f>
        <v>14.059176997427132</v>
      </c>
      <c r="BR36" s="21">
        <f>EXP(-LN(2)/2)*BR35+(1-EXP(-LN(2)/2))/(LN(2)/2)*BL36*BO36*VLOOKUP('Données projet'!$B$11,Paramètres!$A$1:$I$89,3,0)*0.475*44/12</f>
        <v>6.3532538096663673</v>
      </c>
      <c r="BS36" s="22">
        <f t="shared" si="9"/>
        <v>23.033325989020625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</v>
      </c>
      <c r="BY36" s="12">
        <f>IF('Données projet'!$A$114&gt;35,BY35+BX36-CG35,IF(A36&lt;'Données projet'!$A$114,$BV$205^A36,IF(A36='Données projet'!$A$114,'Données projet'!$B$114,BY35+BX36-CG35)))</f>
        <v>168.7</v>
      </c>
      <c r="BZ36" s="13">
        <f>BY36*VLOOKUP('Données projet'!$B$12,Paramètres!$A$1:$I$89,3,0)*VLOOKUP('Données projet'!$B$12,Paramètres!$A$1:$I$89,5,0)</f>
        <v>78.951599999999999</v>
      </c>
      <c r="CA36" s="13">
        <f t="shared" si="39"/>
        <v>21.880648405433348</v>
      </c>
      <c r="CB36" s="20">
        <f t="shared" si="10"/>
        <v>175.61616597279638</v>
      </c>
      <c r="CC36" s="59">
        <f t="shared" si="11"/>
        <v>468.94949930612972</v>
      </c>
      <c r="CD36" s="59">
        <f ca="1">AVERAGE(OFFSET($CC$3,0,0,'Données projet'!$E$12+1,1))-AVERAGE(OFFSET($H$3,0,0,'Données projet'!$E$12+1,1))</f>
        <v>123.60520571614535</v>
      </c>
      <c r="CE36" s="59">
        <f t="shared" si="40"/>
        <v>119.00926870519527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0.81727468061432995</v>
      </c>
      <c r="CL36" s="21">
        <f>EXP(-LN(2)/25)*CL35+(1-EXP(-LN(2)/25))/(LN(2)/25)*Calculateur!CG36*Calculateur!CI36*VLOOKUP('Données projet'!$B$12,Paramètres!$A$1:$I$89,3,0)*0.475*44/12</f>
        <v>4.39551390864019</v>
      </c>
      <c r="CM36" s="21">
        <f>EXP(-LN(2)/2)*CM35+(1-EXP(-LN(2)/2))/(LN(2)/2)*CG36*CJ36*VLOOKUP('Données projet'!$B$12,Paramètres!$A$1:$I$89,3,0)*0.475*44/12</f>
        <v>2.1615230732279023</v>
      </c>
      <c r="CN36" s="22">
        <f t="shared" si="12"/>
        <v>7.3743116624824214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69.599999999999994</v>
      </c>
      <c r="CU36" s="17">
        <f>CT36*VLOOKUP('Données projet'!$B$13,Paramètres!$A$1:$I$89,3,0)*VLOOKUP('Données projet'!$B$13,Paramètres!$A$1:$I$89,5,0)</f>
        <v>72.745919999999998</v>
      </c>
      <c r="CV36" s="13">
        <f t="shared" si="41"/>
        <v>20.353831729162501</v>
      </c>
      <c r="CW36" s="20">
        <f t="shared" si="13"/>
        <v>162.1487342616247</v>
      </c>
      <c r="CX36" s="59">
        <f t="shared" si="14"/>
        <v>455.48206759495804</v>
      </c>
      <c r="CY36" s="59">
        <f ca="1">AVERAGE(OFFSET($CX$3,0,0,'Données projet'!$E$13+1,1))-AVERAGE(OFFSET($H$3,0,0,'Données projet'!$E$13+1,1))</f>
        <v>177.94336949486529</v>
      </c>
      <c r="CZ36" s="59">
        <f t="shared" si="42"/>
        <v>65.559373432574603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</v>
      </c>
      <c r="DO36" s="12">
        <f>IF('Données projet'!$A$166&gt;35,DO35+DN36-DW35,IF(A36&lt;'Données projet'!$A$166,$DL$205^A36,IF(A36='Données projet'!$A$166,'Données projet'!$B$166,DO35+DN36-DW35)))</f>
        <v>155.99999999999997</v>
      </c>
      <c r="DP36" s="17">
        <f>DO36*VLOOKUP('Données projet'!$B$14,Paramètres!$A$1:$I$89,3,0)*VLOOKUP('Données projet'!$B$14,Paramètres!$A$1:$I$89,5,0)</f>
        <v>93.287999999999997</v>
      </c>
      <c r="DQ36" s="13">
        <f t="shared" si="43"/>
        <v>25.356547829040977</v>
      </c>
      <c r="DR36" s="20">
        <f t="shared" si="16"/>
        <v>206.63925413557968</v>
      </c>
      <c r="DS36" s="59">
        <f t="shared" si="17"/>
        <v>499.97258746891299</v>
      </c>
      <c r="DT36" s="59">
        <f ca="1">AVERAGE(OFFSET($DS$3,0,0,'Données projet'!$E$14+1,1))-AVERAGE(OFFSET($H$3,0,0,'Données projet'!$E$14+1,1))</f>
        <v>165.39579887388538</v>
      </c>
      <c r="DU36" s="59">
        <f t="shared" si="44"/>
        <v>155.89639262545802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6.7074733780528639</v>
      </c>
      <c r="EC36" s="21">
        <f>EXP(-LN(2)/2)*EC35+(1-EXP(-LN(2)/2))/(LN(2)/2)*DW36*DZ36*VLOOKUP('Données projet'!$B$14,Paramètres!$A$1:$I$89,3,0)*0.475*44/12</f>
        <v>4.9073336957983251</v>
      </c>
      <c r="ED36" s="22">
        <f t="shared" si="18"/>
        <v>11.614807073851189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20.2</v>
      </c>
      <c r="EJ36" s="12">
        <f>IF('Données projet'!$A$192&gt;35,EJ35+EI36-ER35,IF(A36&lt;'Données projet'!$A$192,$EG$205^A36,IF(A36='Données projet'!$A$192,'Données projet'!$B$192,EJ35+EI36-ER35)))</f>
        <v>254.59999999999997</v>
      </c>
      <c r="EK36" s="17">
        <f>EJ36*VLOOKUP('Données projet'!$B$15,Paramètres!$A$1:$I$89,3,0)*VLOOKUP('Données projet'!$B$15,Paramètres!$A$1:$I$89,5,0)</f>
        <v>122.46259999999998</v>
      </c>
      <c r="EL36" s="13">
        <f t="shared" si="45"/>
        <v>32.248679491884289</v>
      </c>
      <c r="EM36" s="20">
        <f t="shared" si="19"/>
        <v>269.45547844836511</v>
      </c>
      <c r="EN36" s="59">
        <f t="shared" si="20"/>
        <v>562.78881178169843</v>
      </c>
      <c r="EO36" s="59">
        <f ca="1">AVERAGE(OFFSET($EN$3,0,0,'Données projet'!$E$15+1,1))-AVERAGE(OFFSET($H$3,0,0,'Données projet'!$E$15+1,1))</f>
        <v>252.30925789500111</v>
      </c>
      <c r="EP36" s="59">
        <f t="shared" si="46"/>
        <v>213.96033794804805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4.3652335303153844</v>
      </c>
      <c r="EW36" s="21">
        <f>EXP(-LN(2)/25)*EW35+(1-EXP(-LN(2)/25))/(LN(2)/25)*Calculateur!ER36*Calculateur!ET36*VLOOKUP('Données projet'!$B$15,Paramètres!$A$1:$I$89,3,0)*0.475*44/12</f>
        <v>8.4918652000120662</v>
      </c>
      <c r="EX36" s="21">
        <f>EXP(-LN(2)/2)*EX35+(1-EXP(-LN(2)/2))/(LN(2)/2)*ER36*EU36*VLOOKUP('Données projet'!$B$15,Paramètres!$A$1:$I$89,3,0)*0.475*44/12</f>
        <v>5.0832275228587518</v>
      </c>
      <c r="EY36" s="22">
        <f t="shared" si="21"/>
        <v>17.940326253186203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20.2</v>
      </c>
      <c r="FE36" s="12">
        <f>IF('Données projet'!$A$218&gt;35,FE35+FD36-FM35,IF(A36&lt;'Données projet'!$A$218,$FB$205^A36,IF(A36='Données projet'!$A$218,'Données projet'!$B$218,FE35+FD36-FM35)))</f>
        <v>254.59999999999997</v>
      </c>
      <c r="FF36" s="17">
        <f>FE36*VLOOKUP('Données projet'!$B$16,Paramètres!$A$1:$I$89,3,0)*VLOOKUP('Données projet'!$B$16,Paramètres!$A$1:$I$89,5,0)</f>
        <v>122.46259999999998</v>
      </c>
      <c r="FG36" s="13">
        <f t="shared" si="47"/>
        <v>32.248679491884289</v>
      </c>
      <c r="FH36" s="20">
        <f t="shared" si="22"/>
        <v>269.45547844836511</v>
      </c>
      <c r="FI36" s="59">
        <f t="shared" si="23"/>
        <v>562.78881178169843</v>
      </c>
      <c r="FJ36" s="59">
        <f ca="1">AVERAGE(OFFSET($FI$3,0,0,'Données projet'!$E$16+1,1))-AVERAGE(OFFSET($H$3,0,0,'Données projet'!$E$16+1,1))</f>
        <v>252.30925789500111</v>
      </c>
      <c r="FK36" s="59">
        <f t="shared" si="48"/>
        <v>213.96033794804805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4.3652335303153844</v>
      </c>
      <c r="FR36" s="21">
        <f>EXP(-LN(2)/25)*FR35+(1-EXP(-LN(2)/25))/(LN(2)/25)*Calculateur!FM36*Calculateur!FO36*VLOOKUP('Données projet'!$B$16,Paramètres!$A$1:$I$89,3,0)*0.475*44/12</f>
        <v>8.4918652000120662</v>
      </c>
      <c r="FS36" s="21">
        <f>EXP(-LN(2)/2)*FS35+(1-EXP(-LN(2)/2))/(LN(2)/2)*FM36*FP36*VLOOKUP('Données projet'!$B$16,Paramètres!$A$1:$I$89,3,0)*0.475*44/12</f>
        <v>5.0832275228587518</v>
      </c>
      <c r="FT36" s="22">
        <f t="shared" si="24"/>
        <v>17.940326253186203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11.666666666666666</v>
      </c>
      <c r="FZ36" s="12">
        <f>IF('Données projet'!$A$244&gt;35,FZ35+FY36-GH35,IF(A36&lt;'Données projet'!$A$244,$FW$205^A36,IF(A36='Données projet'!$A$244,'Données projet'!$B$244,FZ35+FY36-GH35)))</f>
        <v>181.33333333333329</v>
      </c>
      <c r="GA36" s="17">
        <f>FZ36*VLOOKUP('Données projet'!$B$17,Paramètres!$A$1:$I$89,3,0)*VLOOKUP('Données projet'!$B$17,Paramètres!$A$1:$I$89,5,0)</f>
        <v>108.43733333333331</v>
      </c>
      <c r="GB36" s="13">
        <f t="shared" si="49"/>
        <v>28.962502090468035</v>
      </c>
      <c r="GC36" s="20">
        <f t="shared" si="25"/>
        <v>239.30471336312061</v>
      </c>
      <c r="GD36" s="59">
        <f t="shared" si="26"/>
        <v>532.6380466964539</v>
      </c>
      <c r="GE36" s="59">
        <f ca="1">AVERAGE(OFFSET($GD$3,0,0,'Données projet'!$E$17+1,1))-AVERAGE(OFFSET($H$3,0,0,'Données projet'!$E$17+1,1))</f>
        <v>117.54638373164624</v>
      </c>
      <c r="GF36" s="59">
        <f t="shared" si="50"/>
        <v>133.0740262536583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2.0846885917210445</v>
      </c>
      <c r="GM36" s="21">
        <f>EXP(-LN(2)/25)*GM35+(1-EXP(-LN(2)/25))/(LN(2)/25)*Calculateur!GH36*Calculateur!GJ36*VLOOKUP('Données projet'!$B$17,Paramètres!$A$1:$I$89,3,0)*0.475*44/12</f>
        <v>7.9647662933763774</v>
      </c>
      <c r="GN36" s="21">
        <f>EXP(-LN(2)/2)*GN35+(1-EXP(-LN(2)/2))/(LN(2)/2)*GH36*GK36*VLOOKUP('Données projet'!$B$17,Paramètres!$A$1:$I$89,3,0)*0.475*44/12</f>
        <v>1.4303082357265848</v>
      </c>
      <c r="GO36" s="21">
        <f t="shared" si="27"/>
        <v>11.479763120824007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2.8421709430404007E-14</v>
      </c>
      <c r="GV36" s="17">
        <f>GU36*VLOOKUP('Données projet'!$B$18,Paramètres!$A$1:$I$89,3,0)*VLOOKUP('Données projet'!$B$18,Paramètres!$A$1:$I$89,5,0)</f>
        <v>1.3567387213697657E-14</v>
      </c>
      <c r="GW36" s="13">
        <f t="shared" si="51"/>
        <v>2.5717320947985821E-13</v>
      </c>
      <c r="GX36" s="20">
        <f t="shared" si="28"/>
        <v>4.7153987257460977E-13</v>
      </c>
      <c r="GY36" s="59">
        <f t="shared" si="29"/>
        <v>293.33333333333377</v>
      </c>
      <c r="GZ36" s="59">
        <f ca="1">AVERAGE(OFFSET($GY$3,0,0,'Données projet'!$E$18+1,1))-AVERAGE(OFFSET($H$3,0,0,'Données projet'!$E$18+1,1))</f>
        <v>43.147469606759159</v>
      </c>
      <c r="HA36" s="59">
        <f t="shared" si="52"/>
        <v>147.46995307968473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33.981915009708096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0.19487136593121512</v>
      </c>
      <c r="HJ36" s="22">
        <f t="shared" si="30"/>
        <v>34.17678637563931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5.2</v>
      </c>
      <c r="N37" s="13">
        <f>IF('Données projet'!$A$36&gt;35,N36+M37-V36,IF(A37&lt;'Données projet'!$A$36,$K$205^A37,IF(A37='Données projet'!$A$36,'Données projet'!$B$36,N36+M37-V36)))</f>
        <v>74.8</v>
      </c>
      <c r="O37" s="13">
        <f>N37*VLOOKUP('Données projet'!$B$9,Paramètres!$A$1:$I$89,3,0)*VLOOKUP('Données projet'!$B$9,Paramètres!$A$1:$I$89,5,0)</f>
        <v>67.679039999999986</v>
      </c>
      <c r="P37" s="13">
        <f t="shared" si="33"/>
        <v>19.095955192788225</v>
      </c>
      <c r="Q37" s="20">
        <f t="shared" si="53"/>
        <v>151.13311662743948</v>
      </c>
      <c r="R37" s="59">
        <f t="shared" si="0"/>
        <v>444.46644996077282</v>
      </c>
      <c r="S37" s="59">
        <f ca="1">AVERAGE(OFFSET($R$3,0,0,'Données projet'!$E$9+1,1))-AVERAGE(OFFSET($H$3,0,0,'Données projet'!$E$9+1,1))</f>
        <v>138.8931001150624</v>
      </c>
      <c r="T37" s="59">
        <f t="shared" si="34"/>
        <v>48.964659354096625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8.6999999999999993</v>
      </c>
      <c r="AI37" s="13">
        <f>IF('Données projet'!$A$62&gt;35,AI36+AH37-AQ36,IF(A37&lt;'Données projet'!$A$62,$AF$205^A37,IF(A37='Données projet'!$A$62,'Données projet'!$B$62,AI36+AH37-AQ36)))</f>
        <v>147.79999999999993</v>
      </c>
      <c r="AJ37" s="13">
        <f>AI37*VLOOKUP('Données projet'!$B$10,Paramètres!$A$1:$I$89,3,0)*VLOOKUP('Données projet'!$B$10,Paramètres!$A$1:$I$89,5,0)</f>
        <v>129.11807999999996</v>
      </c>
      <c r="AK37" s="13">
        <f t="shared" si="35"/>
        <v>33.792492849789191</v>
      </c>
      <c r="AL37" s="20">
        <f t="shared" si="4"/>
        <v>283.73591438004945</v>
      </c>
      <c r="AM37" s="59">
        <f t="shared" si="5"/>
        <v>577.06924771338277</v>
      </c>
      <c r="AN37" s="59">
        <f ca="1">AVERAGE(OFFSET($AM$3,0,0,'Données projet'!$E$10+1,1))-AVERAGE(OFFSET($H$3,0,0,'Données projet'!$E$10+1,1))</f>
        <v>191.94797389630673</v>
      </c>
      <c r="AO37" s="59">
        <f t="shared" si="36"/>
        <v>273.52540822767878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12.573447388476453</v>
      </c>
      <c r="AW37" s="21">
        <f>EXP(-LN(2)/2)*AW36+(1-EXP(-LN(2)/2))/(LN(2)/2)*AQ37*AT37*VLOOKUP('Données projet'!$B$10,Paramètres!$A$1:$I$89,3,0)*0.475*44/12</f>
        <v>5.8007657299173436</v>
      </c>
      <c r="AX37" s="21">
        <f t="shared" si="6"/>
        <v>20.752785943154215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11.3</v>
      </c>
      <c r="BD37" s="12">
        <f>IF('Données projet'!$A$88&gt;35,BD36+BC37-BL36,IF(A37&lt;'Données projet'!$A$88,$BA$205^A37,IF(A37='Données projet'!$A$88,'Données projet'!$B$88,BD36+BC37-BL36)))</f>
        <v>166.2</v>
      </c>
      <c r="BE37" s="13">
        <f>BD37*VLOOKUP('Données projet'!$B$11,Paramètres!$A$1:$I$89,3,0)*VLOOKUP('Données projet'!$B$11,Paramètres!$A$1:$I$89,5,0)</f>
        <v>103.7088</v>
      </c>
      <c r="BF37" s="13">
        <f t="shared" si="37"/>
        <v>27.84368661708951</v>
      </c>
      <c r="BG37" s="20">
        <f t="shared" si="7"/>
        <v>229.12058085809755</v>
      </c>
      <c r="BH37" s="59">
        <f t="shared" si="8"/>
        <v>522.45391419143084</v>
      </c>
      <c r="BI37" s="59">
        <f ca="1">AVERAGE(OFFSET($BH$3,0,0,'Données projet'!$E$11+1,1))-AVERAGE(OFFSET($H$3,0,0,'Données projet'!$E$11+1,1))</f>
        <v>162.91481796710048</v>
      </c>
      <c r="BJ37" s="59">
        <f t="shared" si="38"/>
        <v>182.56192390367823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2.5695010259977495</v>
      </c>
      <c r="BQ37" s="21">
        <f>EXP(-LN(2)/25)*BQ36+(1-EXP(-LN(2)/25))/(LN(2)/25)*Calculateur!BL37*Calculateur!BN37*VLOOKUP('Données projet'!$B$11,Paramètres!$A$1:$I$89,3,0)*0.475*44/12</f>
        <v>13.674728063092502</v>
      </c>
      <c r="BR37" s="21">
        <f>EXP(-LN(2)/2)*BR36+(1-EXP(-LN(2)/2))/(LN(2)/2)*BL37*BO37*VLOOKUP('Données projet'!$B$11,Paramètres!$A$1:$I$89,3,0)*0.475*44/12</f>
        <v>4.4924288514143553</v>
      </c>
      <c r="BS37" s="22">
        <f t="shared" si="9"/>
        <v>20.736657940504607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</v>
      </c>
      <c r="BY37" s="12">
        <f>IF('Données projet'!$A$114&gt;35,BY36+BX37-CG36,IF(A37&lt;'Données projet'!$A$114,$BV$205^A37,IF(A37='Données projet'!$A$114,'Données projet'!$B$114,BY36+BX37-CG36)))</f>
        <v>175.7</v>
      </c>
      <c r="BZ37" s="13">
        <f>BY37*VLOOKUP('Données projet'!$B$12,Paramètres!$A$1:$I$89,3,0)*VLOOKUP('Données projet'!$B$12,Paramètres!$A$1:$I$89,5,0)</f>
        <v>82.227599999999995</v>
      </c>
      <c r="CA37" s="13">
        <f t="shared" si="39"/>
        <v>22.68097025884375</v>
      </c>
      <c r="CB37" s="20">
        <f t="shared" si="10"/>
        <v>182.71575986748618</v>
      </c>
      <c r="CC37" s="59">
        <f t="shared" si="11"/>
        <v>476.04909320081947</v>
      </c>
      <c r="CD37" s="59">
        <f ca="1">AVERAGE(OFFSET($CC$3,0,0,'Données projet'!$E$12+1,1))-AVERAGE(OFFSET($H$3,0,0,'Données projet'!$E$12+1,1))</f>
        <v>123.60520571614535</v>
      </c>
      <c r="CE37" s="59">
        <f t="shared" si="40"/>
        <v>119.00926870519527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0.80124842261581652</v>
      </c>
      <c r="CL37" s="21">
        <f>EXP(-LN(2)/25)*CL36+(1-EXP(-LN(2)/25))/(LN(2)/25)*Calculateur!CG37*Calculateur!CI37*VLOOKUP('Données projet'!$B$12,Paramètres!$A$1:$I$89,3,0)*0.475*44/12</f>
        <v>4.2753183496583933</v>
      </c>
      <c r="CM37" s="21">
        <f>EXP(-LN(2)/2)*CM36+(1-EXP(-LN(2)/2))/(LN(2)/2)*CG37*CJ37*VLOOKUP('Données projet'!$B$12,Paramètres!$A$1:$I$89,3,0)*0.475*44/12</f>
        <v>1.5284276227706362</v>
      </c>
      <c r="CN37" s="22">
        <f t="shared" si="12"/>
        <v>6.6049943950448462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</v>
      </c>
      <c r="CU37" s="17">
        <f>CT37*VLOOKUP('Données projet'!$B$13,Paramètres!$A$1:$I$89,3,0)*VLOOKUP('Données projet'!$B$13,Paramètres!$A$1:$I$89,5,0)</f>
        <v>78.180959999999999</v>
      </c>
      <c r="CV37" s="13">
        <f t="shared" si="41"/>
        <v>21.691825770800573</v>
      </c>
      <c r="CW37" s="20">
        <f t="shared" si="13"/>
        <v>173.94510188414429</v>
      </c>
      <c r="CX37" s="59">
        <f t="shared" si="14"/>
        <v>467.27843521747764</v>
      </c>
      <c r="CY37" s="59">
        <f ca="1">AVERAGE(OFFSET($CX$3,0,0,'Données projet'!$E$13+1,1))-AVERAGE(OFFSET($H$3,0,0,'Données projet'!$E$13+1,1))</f>
        <v>177.94336949486529</v>
      </c>
      <c r="CZ37" s="59">
        <f t="shared" si="42"/>
        <v>65.559373432574603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</v>
      </c>
      <c r="DO37" s="12">
        <f>IF('Données projet'!$A$166&gt;35,DO36+DN37-DW36,IF(A37&lt;'Données projet'!$A$166,$DL$205^A37,IF(A37='Données projet'!$A$166,'Données projet'!$B$166,DO36+DN37-DW36)))</f>
        <v>166.99999999999997</v>
      </c>
      <c r="DP37" s="17">
        <f>DO37*VLOOKUP('Données projet'!$B$14,Paramètres!$A$1:$I$89,3,0)*VLOOKUP('Données projet'!$B$14,Paramètres!$A$1:$I$89,5,0)</f>
        <v>99.866</v>
      </c>
      <c r="DQ37" s="13">
        <f t="shared" si="43"/>
        <v>26.93007140526165</v>
      </c>
      <c r="DR37" s="20">
        <f t="shared" si="16"/>
        <v>220.83649103083067</v>
      </c>
      <c r="DS37" s="59">
        <f t="shared" si="17"/>
        <v>514.16982436416401</v>
      </c>
      <c r="DT37" s="59">
        <f ca="1">AVERAGE(OFFSET($DS$3,0,0,'Données projet'!$E$14+1,1))-AVERAGE(OFFSET($H$3,0,0,'Données projet'!$E$14+1,1))</f>
        <v>165.39579887388538</v>
      </c>
      <c r="DU37" s="59">
        <f t="shared" si="44"/>
        <v>155.89639262545802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6.5240571657993138</v>
      </c>
      <c r="EC37" s="21">
        <f>EXP(-LN(2)/2)*EC36+(1-EXP(-LN(2)/2))/(LN(2)/2)*DW37*DZ37*VLOOKUP('Données projet'!$B$14,Paramètres!$A$1:$I$89,3,0)*0.475*44/12</f>
        <v>3.4700089338442379</v>
      </c>
      <c r="ED37" s="22">
        <f t="shared" si="18"/>
        <v>9.9940660996435522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20.2</v>
      </c>
      <c r="EJ37" s="12">
        <f>IF('Données projet'!$A$192&gt;35,EJ36+EI37-ER36,IF(A37&lt;'Données projet'!$A$192,$EG$205^A37,IF(A37='Données projet'!$A$192,'Données projet'!$B$192,EJ36+EI37-ER36)))</f>
        <v>274.79999999999995</v>
      </c>
      <c r="EK37" s="17">
        <f>EJ37*VLOOKUP('Données projet'!$B$15,Paramètres!$A$1:$I$89,3,0)*VLOOKUP('Données projet'!$B$15,Paramètres!$A$1:$I$89,5,0)</f>
        <v>132.1788</v>
      </c>
      <c r="EL37" s="13">
        <f t="shared" si="45"/>
        <v>34.49932798943486</v>
      </c>
      <c r="EM37" s="20">
        <f t="shared" si="19"/>
        <v>290.29773958159905</v>
      </c>
      <c r="EN37" s="59">
        <f t="shared" si="20"/>
        <v>583.63107291493236</v>
      </c>
      <c r="EO37" s="59">
        <f ca="1">AVERAGE(OFFSET($EN$3,0,0,'Données projet'!$E$15+1,1))-AVERAGE(OFFSET($H$3,0,0,'Données projet'!$E$15+1,1))</f>
        <v>252.30925789500111</v>
      </c>
      <c r="EP37" s="59">
        <f t="shared" si="46"/>
        <v>213.96033794804805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4.2796339633154501</v>
      </c>
      <c r="EW37" s="21">
        <f>EXP(-LN(2)/25)*EW36+(1-EXP(-LN(2)/25))/(LN(2)/25)*Calculateur!ER37*Calculateur!ET37*VLOOKUP('Données projet'!$B$15,Paramètres!$A$1:$I$89,3,0)*0.475*44/12</f>
        <v>8.2596546995499533</v>
      </c>
      <c r="EX37" s="21">
        <f>EXP(-LN(2)/2)*EX36+(1-EXP(-LN(2)/2))/(LN(2)/2)*ER37*EU37*VLOOKUP('Données projet'!$B$15,Paramètres!$A$1:$I$89,3,0)*0.475*44/12</f>
        <v>3.5943846517275198</v>
      </c>
      <c r="EY37" s="22">
        <f t="shared" si="21"/>
        <v>16.133673314592922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20.2</v>
      </c>
      <c r="FE37" s="12">
        <f>IF('Données projet'!$A$218&gt;35,FE36+FD37-FM36,IF(A37&lt;'Données projet'!$A$218,$FB$205^A37,IF(A37='Données projet'!$A$218,'Données projet'!$B$218,FE36+FD37-FM36)))</f>
        <v>274.79999999999995</v>
      </c>
      <c r="FF37" s="17">
        <f>FE37*VLOOKUP('Données projet'!$B$16,Paramètres!$A$1:$I$89,3,0)*VLOOKUP('Données projet'!$B$16,Paramètres!$A$1:$I$89,5,0)</f>
        <v>132.1788</v>
      </c>
      <c r="FG37" s="13">
        <f t="shared" si="47"/>
        <v>34.49932798943486</v>
      </c>
      <c r="FH37" s="20">
        <f t="shared" si="22"/>
        <v>290.29773958159905</v>
      </c>
      <c r="FI37" s="59">
        <f t="shared" si="23"/>
        <v>583.63107291493236</v>
      </c>
      <c r="FJ37" s="59">
        <f ca="1">AVERAGE(OFFSET($FI$3,0,0,'Données projet'!$E$16+1,1))-AVERAGE(OFFSET($H$3,0,0,'Données projet'!$E$16+1,1))</f>
        <v>252.30925789500111</v>
      </c>
      <c r="FK37" s="59">
        <f t="shared" si="48"/>
        <v>213.96033794804805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4.2796339633154501</v>
      </c>
      <c r="FR37" s="21">
        <f>EXP(-LN(2)/25)*FR36+(1-EXP(-LN(2)/25))/(LN(2)/25)*Calculateur!FM37*Calculateur!FO37*VLOOKUP('Données projet'!$B$16,Paramètres!$A$1:$I$89,3,0)*0.475*44/12</f>
        <v>8.2596546995499533</v>
      </c>
      <c r="FS37" s="21">
        <f>EXP(-LN(2)/2)*FS36+(1-EXP(-LN(2)/2))/(LN(2)/2)*FM37*FP37*VLOOKUP('Données projet'!$B$16,Paramètres!$A$1:$I$89,3,0)*0.475*44/12</f>
        <v>3.5943846517275198</v>
      </c>
      <c r="FT37" s="22">
        <f t="shared" si="24"/>
        <v>16.133673314592922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>
        <f>VLOOKUP(A37,'Données projet'!$A$243:$I$263,2,0)</f>
        <v>193</v>
      </c>
      <c r="FX37" s="12">
        <f>VLOOKUP(A37,'Données projet'!$A$243:$I$263,9,0)</f>
        <v>11.666666666666666</v>
      </c>
      <c r="FY37" s="12">
        <f t="array" ref="FY37">INDEX(FX:FX,MIN(IF(ISNUMBER(FX37:FX233),ROW(FX37:FX233),"")))</f>
        <v>11.666666666666666</v>
      </c>
      <c r="FZ37" s="12">
        <f>IF('Données projet'!$A$244&gt;35,FZ36+FY37-GH36,IF(A37&lt;'Données projet'!$A$244,$FW$205^A37,IF(A37='Données projet'!$A$244,'Données projet'!$B$244,FZ36+FY37-GH36)))</f>
        <v>192.99999999999994</v>
      </c>
      <c r="GA37" s="17">
        <f>FZ37*VLOOKUP('Données projet'!$B$17,Paramètres!$A$1:$I$89,3,0)*VLOOKUP('Données projet'!$B$17,Paramètres!$A$1:$I$89,5,0)</f>
        <v>115.41399999999997</v>
      </c>
      <c r="GB37" s="13">
        <f t="shared" si="49"/>
        <v>30.602976534547519</v>
      </c>
      <c r="GC37" s="20">
        <f t="shared" si="25"/>
        <v>254.31290079767018</v>
      </c>
      <c r="GD37" s="59">
        <f t="shared" si="26"/>
        <v>547.64623413100344</v>
      </c>
      <c r="GE37" s="59">
        <f ca="1">AVERAGE(OFFSET($GD$3,0,0,'Données projet'!$E$17+1,1))-AVERAGE(OFFSET($H$3,0,0,'Données projet'!$E$17+1,1))</f>
        <v>117.54638373164624</v>
      </c>
      <c r="GF37" s="59">
        <f t="shared" si="50"/>
        <v>133.0740262536583</v>
      </c>
      <c r="GG37" s="15">
        <f>IF(ISNA(VLOOKUP(A37,'Données projet'!$A$243:$I$263,3,0)),0,VLOOKUP(A37,'Données projet'!$A$243:$I$263,3,0))</f>
        <v>5</v>
      </c>
      <c r="GH37" s="15">
        <f>IF(ISNA(VLOOKUP(A37,'Données projet'!$A$243:$I$263,4,0)),0,VLOOKUP(A37,'Données projet'!$A$243:$I$263,4,0))</f>
        <v>38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2.0438091199718822</v>
      </c>
      <c r="GM37" s="21">
        <f>EXP(-LN(2)/25)*GM36+(1-EXP(-LN(2)/25))/(LN(2)/25)*Calculateur!GH37*Calculateur!GJ37*VLOOKUP('Données projet'!$B$17,Paramètres!$A$1:$I$89,3,0)*0.475*44/12</f>
        <v>7.7469693402351449</v>
      </c>
      <c r="GN37" s="21">
        <f>EXP(-LN(2)/2)*GN36+(1-EXP(-LN(2)/2))/(LN(2)/2)*GH37*GK37*VLOOKUP('Données projet'!$B$17,Paramètres!$A$1:$I$89,3,0)*0.475*44/12</f>
        <v>1.011380652669235</v>
      </c>
      <c r="GO37" s="21">
        <f t="shared" si="27"/>
        <v>10.802159112876263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2.8421709430404007E-14</v>
      </c>
      <c r="GV37" s="17">
        <f>GU37*VLOOKUP('Données projet'!$B$18,Paramètres!$A$1:$I$89,3,0)*VLOOKUP('Données projet'!$B$18,Paramètres!$A$1:$I$89,5,0)</f>
        <v>1.3567387213697657E-14</v>
      </c>
      <c r="GW37" s="13">
        <f t="shared" si="51"/>
        <v>2.5717320947985821E-13</v>
      </c>
      <c r="GX37" s="20">
        <f t="shared" si="28"/>
        <v>4.7153987257460977E-13</v>
      </c>
      <c r="GY37" s="59">
        <f t="shared" si="29"/>
        <v>293.33333333333377</v>
      </c>
      <c r="GZ37" s="59">
        <f ca="1">AVERAGE(OFFSET($GY$3,0,0,'Données projet'!$E$18+1,1))-AVERAGE(OFFSET($H$3,0,0,'Données projet'!$E$18+1,1))</f>
        <v>43.147469606759159</v>
      </c>
      <c r="HA37" s="59">
        <f t="shared" si="52"/>
        <v>147.46995307968473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33.315550383289263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0.13779486430904736</v>
      </c>
      <c r="HJ37" s="22">
        <f t="shared" si="30"/>
        <v>33.453345247598314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5.2</v>
      </c>
      <c r="N38" s="13">
        <f>IF('Données projet'!$A$36&gt;35,N37+M38-V37,IF(A38&lt;'Données projet'!$A$36,$K$205^A38,IF(A38='Données projet'!$A$36,'Données projet'!$B$36,N37+M38-V37)))</f>
        <v>80</v>
      </c>
      <c r="O38" s="13">
        <f>N38*VLOOKUP('Données projet'!$B$9,Paramètres!$A$1:$I$89,3,0)*VLOOKUP('Données projet'!$B$9,Paramètres!$A$1:$I$89,5,0)</f>
        <v>72.384</v>
      </c>
      <c r="P38" s="13">
        <f t="shared" si="33"/>
        <v>20.264329923804397</v>
      </c>
      <c r="Q38" s="20">
        <f t="shared" si="53"/>
        <v>161.362507950626</v>
      </c>
      <c r="R38" s="59">
        <f t="shared" si="0"/>
        <v>454.69584128395934</v>
      </c>
      <c r="S38" s="59">
        <f ca="1">AVERAGE(OFFSET($R$3,0,0,'Données projet'!$E$9+1,1))-AVERAGE(OFFSET($H$3,0,0,'Données projet'!$E$9+1,1))</f>
        <v>138.8931001150624</v>
      </c>
      <c r="T38" s="59">
        <f t="shared" si="34"/>
        <v>48.964659354096625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8.6999999999999993</v>
      </c>
      <c r="AI38" s="13">
        <f>IF('Données projet'!$A$62&gt;35,AI37+AH38-AQ37,IF(A38&lt;'Données projet'!$A$62,$AF$205^A38,IF(A38='Données projet'!$A$62,'Données projet'!$B$62,AI37+AH38-AQ37)))</f>
        <v>156.49999999999991</v>
      </c>
      <c r="AJ38" s="13">
        <f>AI38*VLOOKUP('Données projet'!$B$10,Paramètres!$A$1:$I$89,3,0)*VLOOKUP('Données projet'!$B$10,Paramètres!$A$1:$I$89,5,0)</f>
        <v>136.71839999999995</v>
      </c>
      <c r="AK38" s="13">
        <f t="shared" si="35"/>
        <v>35.544202389747838</v>
      </c>
      <c r="AL38" s="20">
        <f t="shared" si="4"/>
        <v>300.02403249547734</v>
      </c>
      <c r="AM38" s="59">
        <f t="shared" si="5"/>
        <v>593.35736582881066</v>
      </c>
      <c r="AN38" s="59">
        <f ca="1">AVERAGE(OFFSET($AM$3,0,0,'Données projet'!$E$10+1,1))-AVERAGE(OFFSET($H$3,0,0,'Données projet'!$E$10+1,1))</f>
        <v>191.94797389630673</v>
      </c>
      <c r="AO38" s="59">
        <f t="shared" si="36"/>
        <v>273.52540822767878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12.229625808429702</v>
      </c>
      <c r="AW38" s="21">
        <f>EXP(-LN(2)/2)*AW37+(1-EXP(-LN(2)/2))/(LN(2)/2)*AQ38*AT38*VLOOKUP('Données projet'!$B$10,Paramètres!$A$1:$I$89,3,0)*0.475*44/12</f>
        <v>4.1017607836990866</v>
      </c>
      <c r="AX38" s="21">
        <f t="shared" si="6"/>
        <v>18.663317054581825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11.3</v>
      </c>
      <c r="BD38" s="12">
        <f>IF('Données projet'!$A$88&gt;35,BD37+BC38-BL37,IF(A38&lt;'Données projet'!$A$88,$BA$205^A38,IF(A38='Données projet'!$A$88,'Données projet'!$B$88,BD37+BC38-BL37)))</f>
        <v>177.5</v>
      </c>
      <c r="BE38" s="13">
        <f>BD38*VLOOKUP('Données projet'!$B$11,Paramètres!$A$1:$I$89,3,0)*VLOOKUP('Données projet'!$B$11,Paramètres!$A$1:$I$89,5,0)</f>
        <v>110.76</v>
      </c>
      <c r="BF38" s="13">
        <f t="shared" si="37"/>
        <v>29.509974682362923</v>
      </c>
      <c r="BG38" s="20">
        <f t="shared" si="7"/>
        <v>244.30353923844879</v>
      </c>
      <c r="BH38" s="59">
        <f t="shared" si="8"/>
        <v>537.63687257178208</v>
      </c>
      <c r="BI38" s="59">
        <f ca="1">AVERAGE(OFFSET($BH$3,0,0,'Données projet'!$E$11+1,1))-AVERAGE(OFFSET($H$3,0,0,'Données projet'!$E$11+1,1))</f>
        <v>162.91481796710048</v>
      </c>
      <c r="BJ38" s="59">
        <f t="shared" si="38"/>
        <v>182.56192390367823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2.5191146781188074</v>
      </c>
      <c r="BQ38" s="21">
        <f>EXP(-LN(2)/25)*BQ37+(1-EXP(-LN(2)/25))/(LN(2)/25)*Calculateur!BL38*Calculateur!BN38*VLOOKUP('Données projet'!$B$11,Paramètres!$A$1:$I$89,3,0)*0.475*44/12</f>
        <v>13.300791905084543</v>
      </c>
      <c r="BR38" s="21">
        <f>EXP(-LN(2)/2)*BR37+(1-EXP(-LN(2)/2))/(LN(2)/2)*BL38*BO38*VLOOKUP('Données projet'!$B$11,Paramètres!$A$1:$I$89,3,0)*0.475*44/12</f>
        <v>3.1766269048331837</v>
      </c>
      <c r="BS38" s="22">
        <f t="shared" si="9"/>
        <v>18.996533488036533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7</v>
      </c>
      <c r="BY38" s="12">
        <f>IF('Données projet'!$A$114&gt;35,BY37+BX38-CG37,IF(A38&lt;'Données projet'!$A$114,$BV$205^A38,IF(A38='Données projet'!$A$114,'Données projet'!$B$114,BY37+BX38-CG37)))</f>
        <v>182.7</v>
      </c>
      <c r="BZ38" s="13">
        <f>BY38*VLOOKUP('Données projet'!$B$12,Paramètres!$A$1:$I$89,3,0)*VLOOKUP('Données projet'!$B$12,Paramètres!$A$1:$I$89,5,0)</f>
        <v>85.503599999999992</v>
      </c>
      <c r="CA38" s="13">
        <f t="shared" si="39"/>
        <v>23.477588217192526</v>
      </c>
      <c r="CB38" s="20">
        <f t="shared" si="10"/>
        <v>189.8089028116103</v>
      </c>
      <c r="CC38" s="59">
        <f t="shared" si="11"/>
        <v>483.14223614494358</v>
      </c>
      <c r="CD38" s="59">
        <f ca="1">AVERAGE(OFFSET($CC$3,0,0,'Données projet'!$E$12+1,1))-AVERAGE(OFFSET($H$3,0,0,'Données projet'!$E$12+1,1))</f>
        <v>123.60520571614535</v>
      </c>
      <c r="CE38" s="59">
        <f t="shared" si="40"/>
        <v>119.00926870519527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0.78553642976160176</v>
      </c>
      <c r="CL38" s="21">
        <f>EXP(-LN(2)/25)*CL37+(1-EXP(-LN(2)/25))/(LN(2)/25)*Calculateur!CG38*Calculateur!CI38*VLOOKUP('Données projet'!$B$12,Paramètres!$A$1:$I$89,3,0)*0.475*44/12</f>
        <v>4.158409544557764</v>
      </c>
      <c r="CM38" s="21">
        <f>EXP(-LN(2)/2)*CM37+(1-EXP(-LN(2)/2))/(LN(2)/2)*CG38*CJ38*VLOOKUP('Données projet'!$B$12,Paramètres!$A$1:$I$89,3,0)*0.475*44/12</f>
        <v>1.0807615366139514</v>
      </c>
      <c r="CN38" s="22">
        <f t="shared" si="12"/>
        <v>6.0247075109333172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</v>
      </c>
      <c r="CU38" s="17">
        <f>CT38*VLOOKUP('Données projet'!$B$13,Paramètres!$A$1:$I$89,3,0)*VLOOKUP('Données projet'!$B$13,Paramètres!$A$1:$I$89,5,0)</f>
        <v>83.616</v>
      </c>
      <c r="CV38" s="13">
        <f t="shared" si="41"/>
        <v>23.019027308735705</v>
      </c>
      <c r="CW38" s="20">
        <f t="shared" si="13"/>
        <v>185.72267256271468</v>
      </c>
      <c r="CX38" s="59">
        <f t="shared" si="14"/>
        <v>479.05600589604796</v>
      </c>
      <c r="CY38" s="59">
        <f ca="1">AVERAGE(OFFSET($CX$3,0,0,'Données projet'!$E$13+1,1))-AVERAGE(OFFSET($H$3,0,0,'Données projet'!$E$13+1,1))</f>
        <v>177.94336949486529</v>
      </c>
      <c r="CZ38" s="59">
        <f t="shared" si="42"/>
        <v>65.559373432574603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</v>
      </c>
      <c r="DO38" s="12">
        <f>IF('Données projet'!$A$166&gt;35,DO37+DN38-DW37,IF(A38&lt;'Données projet'!$A$166,$DL$205^A38,IF(A38='Données projet'!$A$166,'Données projet'!$B$166,DO37+DN38-DW37)))</f>
        <v>177.99999999999997</v>
      </c>
      <c r="DP38" s="17">
        <f>DO38*VLOOKUP('Données projet'!$B$14,Paramètres!$A$1:$I$89,3,0)*VLOOKUP('Données projet'!$B$14,Paramètres!$A$1:$I$89,5,0)</f>
        <v>106.444</v>
      </c>
      <c r="DQ38" s="13">
        <f t="shared" si="43"/>
        <v>28.491567625901922</v>
      </c>
      <c r="DR38" s="20">
        <f t="shared" si="16"/>
        <v>235.01278028177913</v>
      </c>
      <c r="DS38" s="59">
        <f t="shared" si="17"/>
        <v>528.34611361511247</v>
      </c>
      <c r="DT38" s="59">
        <f ca="1">AVERAGE(OFFSET($DS$3,0,0,'Données projet'!$E$14+1,1))-AVERAGE(OFFSET($H$3,0,0,'Données projet'!$E$14+1,1))</f>
        <v>165.39579887388538</v>
      </c>
      <c r="DU38" s="59">
        <f t="shared" si="44"/>
        <v>155.89639262545802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6.3456564795152763</v>
      </c>
      <c r="EC38" s="21">
        <f>EXP(-LN(2)/2)*EC37+(1-EXP(-LN(2)/2))/(LN(2)/2)*DW38*DZ38*VLOOKUP('Données projet'!$B$14,Paramètres!$A$1:$I$89,3,0)*0.475*44/12</f>
        <v>2.4536668478991626</v>
      </c>
      <c r="ED38" s="22">
        <f t="shared" si="18"/>
        <v>8.799323327414438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20.2</v>
      </c>
      <c r="EJ38" s="12">
        <f>IF('Données projet'!$A$192&gt;35,EJ37+EI38-ER37,IF(A38&lt;'Données projet'!$A$192,$EG$205^A38,IF(A38='Données projet'!$A$192,'Données projet'!$B$192,EJ37+EI38-ER37)))</f>
        <v>294.99999999999994</v>
      </c>
      <c r="EK38" s="17">
        <f>EJ38*VLOOKUP('Données projet'!$B$15,Paramètres!$A$1:$I$89,3,0)*VLOOKUP('Données projet'!$B$15,Paramètres!$A$1:$I$89,5,0)</f>
        <v>141.89499999999998</v>
      </c>
      <c r="EL38" s="13">
        <f t="shared" si="45"/>
        <v>36.730783106167067</v>
      </c>
      <c r="EM38" s="20">
        <f t="shared" si="19"/>
        <v>311.10657224324092</v>
      </c>
      <c r="EN38" s="59">
        <f t="shared" si="20"/>
        <v>604.43990557657423</v>
      </c>
      <c r="EO38" s="59">
        <f ca="1">AVERAGE(OFFSET($EN$3,0,0,'Données projet'!$E$15+1,1))-AVERAGE(OFFSET($H$3,0,0,'Données projet'!$E$15+1,1))</f>
        <v>252.30925789500111</v>
      </c>
      <c r="EP38" s="59">
        <f t="shared" si="46"/>
        <v>213.96033794804805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4.1957129516138041</v>
      </c>
      <c r="EW38" s="21">
        <f>EXP(-LN(2)/25)*EW37+(1-EXP(-LN(2)/25))/(LN(2)/25)*Calculateur!ER38*Calculateur!ET38*VLOOKUP('Données projet'!$B$15,Paramètres!$A$1:$I$89,3,0)*0.475*44/12</f>
        <v>8.0337940074343965</v>
      </c>
      <c r="EX38" s="21">
        <f>EXP(-LN(2)/2)*EX37+(1-EXP(-LN(2)/2))/(LN(2)/2)*ER38*EU38*VLOOKUP('Données projet'!$B$15,Paramètres!$A$1:$I$89,3,0)*0.475*44/12</f>
        <v>2.5416137614293763</v>
      </c>
      <c r="EY38" s="22">
        <f t="shared" si="21"/>
        <v>14.771120720477578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20.2</v>
      </c>
      <c r="FE38" s="12">
        <f>IF('Données projet'!$A$218&gt;35,FE37+FD38-FM37,IF(A38&lt;'Données projet'!$A$218,$FB$205^A38,IF(A38='Données projet'!$A$218,'Données projet'!$B$218,FE37+FD38-FM37)))</f>
        <v>294.99999999999994</v>
      </c>
      <c r="FF38" s="17">
        <f>FE38*VLOOKUP('Données projet'!$B$16,Paramètres!$A$1:$I$89,3,0)*VLOOKUP('Données projet'!$B$16,Paramètres!$A$1:$I$89,5,0)</f>
        <v>141.89499999999998</v>
      </c>
      <c r="FG38" s="13">
        <f t="shared" si="47"/>
        <v>36.730783106167067</v>
      </c>
      <c r="FH38" s="20">
        <f t="shared" si="22"/>
        <v>311.10657224324092</v>
      </c>
      <c r="FI38" s="59">
        <f t="shared" si="23"/>
        <v>604.43990557657423</v>
      </c>
      <c r="FJ38" s="59">
        <f ca="1">AVERAGE(OFFSET($FI$3,0,0,'Données projet'!$E$16+1,1))-AVERAGE(OFFSET($H$3,0,0,'Données projet'!$E$16+1,1))</f>
        <v>252.30925789500111</v>
      </c>
      <c r="FK38" s="59">
        <f t="shared" si="48"/>
        <v>213.96033794804805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4.1957129516138041</v>
      </c>
      <c r="FR38" s="21">
        <f>EXP(-LN(2)/25)*FR37+(1-EXP(-LN(2)/25))/(LN(2)/25)*Calculateur!FM38*Calculateur!FO38*VLOOKUP('Données projet'!$B$16,Paramètres!$A$1:$I$89,3,0)*0.475*44/12</f>
        <v>8.0337940074343965</v>
      </c>
      <c r="FS38" s="21">
        <f>EXP(-LN(2)/2)*FS37+(1-EXP(-LN(2)/2))/(LN(2)/2)*FM38*FP38*VLOOKUP('Données projet'!$B$16,Paramètres!$A$1:$I$89,3,0)*0.475*44/12</f>
        <v>2.5416137614293763</v>
      </c>
      <c r="FT38" s="22">
        <f t="shared" si="24"/>
        <v>14.771120720477578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10</v>
      </c>
      <c r="FZ38" s="12">
        <f>IF('Données projet'!$A$244&gt;35,FZ37+FY38-GH37,IF(A38&lt;'Données projet'!$A$244,$FW$205^A38,IF(A38='Données projet'!$A$244,'Données projet'!$B$244,FZ37+FY38-GH37)))</f>
        <v>164.99999999999994</v>
      </c>
      <c r="GA38" s="17">
        <f>FZ38*VLOOKUP('Données projet'!$B$17,Paramètres!$A$1:$I$89,3,0)*VLOOKUP('Données projet'!$B$17,Paramètres!$A$1:$I$89,5,0)</f>
        <v>98.669999999999973</v>
      </c>
      <c r="GB38" s="13">
        <f t="shared" si="49"/>
        <v>26.644896901954066</v>
      </c>
      <c r="GC38" s="20">
        <f t="shared" si="25"/>
        <v>218.25677877090325</v>
      </c>
      <c r="GD38" s="59">
        <f t="shared" si="26"/>
        <v>511.5901121042366</v>
      </c>
      <c r="GE38" s="59">
        <f ca="1">AVERAGE(OFFSET($GD$3,0,0,'Données projet'!$E$17+1,1))-AVERAGE(OFFSET($H$3,0,0,'Données projet'!$E$17+1,1))</f>
        <v>117.54638373164624</v>
      </c>
      <c r="GF38" s="59">
        <f t="shared" si="50"/>
        <v>133.0740262536583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2.0037312697297054</v>
      </c>
      <c r="GM38" s="21">
        <f>EXP(-LN(2)/25)*GM37+(1-EXP(-LN(2)/25))/(LN(2)/25)*Calculateur!GH38*Calculateur!GJ38*VLOOKUP('Données projet'!$B$17,Paramètres!$A$1:$I$89,3,0)*0.475*44/12</f>
        <v>7.5351280562310032</v>
      </c>
      <c r="GN38" s="21">
        <f>EXP(-LN(2)/2)*GN37+(1-EXP(-LN(2)/2))/(LN(2)/2)*GH38*GK38*VLOOKUP('Données projet'!$B$17,Paramètres!$A$1:$I$89,3,0)*0.475*44/12</f>
        <v>0.71515411786329242</v>
      </c>
      <c r="GO38" s="21">
        <f t="shared" si="27"/>
        <v>10.254013443824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2.8421709430404007E-14</v>
      </c>
      <c r="GV38" s="17">
        <f>GU38*VLOOKUP('Données projet'!$B$18,Paramètres!$A$1:$I$89,3,0)*VLOOKUP('Données projet'!$B$18,Paramètres!$A$1:$I$89,5,0)</f>
        <v>1.3567387213697657E-14</v>
      </c>
      <c r="GW38" s="13">
        <f t="shared" si="51"/>
        <v>2.5717320947985821E-13</v>
      </c>
      <c r="GX38" s="20">
        <f t="shared" si="28"/>
        <v>4.7153987257460977E-13</v>
      </c>
      <c r="GY38" s="59">
        <f t="shared" si="29"/>
        <v>293.33333333333377</v>
      </c>
      <c r="GZ38" s="59">
        <f ca="1">AVERAGE(OFFSET($GY$3,0,0,'Données projet'!$E$18+1,1))-AVERAGE(OFFSET($H$3,0,0,'Données projet'!$E$18+1,1))</f>
        <v>43.147469606759159</v>
      </c>
      <c r="HA38" s="59">
        <f t="shared" si="52"/>
        <v>147.46995307968473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32.662252760752217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9.7435682965607562E-2</v>
      </c>
      <c r="HJ38" s="22">
        <f t="shared" si="30"/>
        <v>32.759688443717828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5.2</v>
      </c>
      <c r="N39" s="13">
        <f>IF('Données projet'!$A$36&gt;35,N38+M39-V38,IF(A39&lt;'Données projet'!$A$36,$K$205^A39,IF(A39='Données projet'!$A$36,'Données projet'!$B$36,N38+M39-V38)))</f>
        <v>85.2</v>
      </c>
      <c r="O39" s="13">
        <f>N39*VLOOKUP('Données projet'!$B$9,Paramètres!$A$1:$I$89,3,0)*VLOOKUP('Données projet'!$B$9,Paramètres!$A$1:$I$89,5,0)</f>
        <v>77.08896</v>
      </c>
      <c r="P39" s="13">
        <f t="shared" si="33"/>
        <v>21.423891539868706</v>
      </c>
      <c r="Q39" s="20">
        <f t="shared" si="53"/>
        <v>171.57654976527132</v>
      </c>
      <c r="R39" s="59">
        <f t="shared" si="0"/>
        <v>464.90988309860461</v>
      </c>
      <c r="S39" s="59">
        <f ca="1">AVERAGE(OFFSET($R$3,0,0,'Données projet'!$E$9+1,1))-AVERAGE(OFFSET($H$3,0,0,'Données projet'!$E$9+1,1))</f>
        <v>138.8931001150624</v>
      </c>
      <c r="T39" s="59">
        <f t="shared" si="34"/>
        <v>48.964659354096625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8.6999999999999993</v>
      </c>
      <c r="AI39" s="13">
        <f>IF('Données projet'!$A$62&gt;35,AI38+AH39-AQ38,IF(A39&lt;'Données projet'!$A$62,$AF$205^A39,IF(A39='Données projet'!$A$62,'Données projet'!$B$62,AI38+AH39-AQ38)))</f>
        <v>165.1999999999999</v>
      </c>
      <c r="AJ39" s="13">
        <f>AI39*VLOOKUP('Données projet'!$B$10,Paramètres!$A$1:$I$89,3,0)*VLOOKUP('Données projet'!$B$10,Paramètres!$A$1:$I$89,5,0)</f>
        <v>144.31871999999993</v>
      </c>
      <c r="AK39" s="13">
        <f t="shared" si="35"/>
        <v>37.284607417926146</v>
      </c>
      <c r="AL39" s="20">
        <f t="shared" si="4"/>
        <v>316.29246191955457</v>
      </c>
      <c r="AM39" s="59">
        <f t="shared" si="5"/>
        <v>609.62579525288788</v>
      </c>
      <c r="AN39" s="59">
        <f ca="1">AVERAGE(OFFSET($AM$3,0,0,'Données projet'!$E$10+1,1))-AVERAGE(OFFSET($H$3,0,0,'Données projet'!$E$10+1,1))</f>
        <v>191.94797389630673</v>
      </c>
      <c r="AO39" s="59">
        <f t="shared" si="36"/>
        <v>273.52540822767878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11.895206047570122</v>
      </c>
      <c r="AW39" s="21">
        <f>EXP(-LN(2)/2)*AW38+(1-EXP(-LN(2)/2))/(LN(2)/2)*AQ39*AT39*VLOOKUP('Données projet'!$B$10,Paramètres!$A$1:$I$89,3,0)*0.475*44/12</f>
        <v>2.9003828649586718</v>
      </c>
      <c r="AX39" s="21">
        <f t="shared" si="6"/>
        <v>17.081791640950264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11.3</v>
      </c>
      <c r="BD39" s="12">
        <f>IF('Données projet'!$A$88&gt;35,BD38+BC39-BL38,IF(A39&lt;'Données projet'!$A$88,$BA$205^A39,IF(A39='Données projet'!$A$88,'Données projet'!$B$88,BD38+BC39-BL38)))</f>
        <v>188.8</v>
      </c>
      <c r="BE39" s="13">
        <f>BD39*VLOOKUP('Données projet'!$B$11,Paramètres!$A$1:$I$89,3,0)*VLOOKUP('Données projet'!$B$11,Paramètres!$A$1:$I$89,5,0)</f>
        <v>117.8112</v>
      </c>
      <c r="BF39" s="13">
        <f t="shared" si="37"/>
        <v>31.163951991689025</v>
      </c>
      <c r="BG39" s="20">
        <f t="shared" si="7"/>
        <v>259.46505638552497</v>
      </c>
      <c r="BH39" s="59">
        <f t="shared" si="8"/>
        <v>552.79838971885829</v>
      </c>
      <c r="BI39" s="59">
        <f ca="1">AVERAGE(OFFSET($BH$3,0,0,'Données projet'!$E$11+1,1))-AVERAGE(OFFSET($H$3,0,0,'Données projet'!$E$11+1,1))</f>
        <v>162.91481796710048</v>
      </c>
      <c r="BJ39" s="59">
        <f t="shared" si="38"/>
        <v>182.56192390367823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2.4697163757891336</v>
      </c>
      <c r="BQ39" s="21">
        <f>EXP(-LN(2)/25)*BQ38+(1-EXP(-LN(2)/25))/(LN(2)/25)*Calculateur!BL39*Calculateur!BN39*VLOOKUP('Données projet'!$B$11,Paramètres!$A$1:$I$89,3,0)*0.475*44/12</f>
        <v>12.937081050981758</v>
      </c>
      <c r="BR39" s="21">
        <f>EXP(-LN(2)/2)*BR38+(1-EXP(-LN(2)/2))/(LN(2)/2)*BL39*BO39*VLOOKUP('Données projet'!$B$11,Paramètres!$A$1:$I$89,3,0)*0.475*44/12</f>
        <v>2.2462144257071777</v>
      </c>
      <c r="BS39" s="22">
        <f t="shared" si="9"/>
        <v>17.65301185247807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189.7</v>
      </c>
      <c r="BZ39" s="13">
        <f>BY39*VLOOKUP('Données projet'!$B$12,Paramètres!$A$1:$I$89,3,0)*VLOOKUP('Données projet'!$B$12,Paramètres!$A$1:$I$89,5,0)</f>
        <v>88.779599999999988</v>
      </c>
      <c r="CA39" s="13">
        <f t="shared" si="39"/>
        <v>24.270660436720163</v>
      </c>
      <c r="CB39" s="20">
        <f t="shared" si="10"/>
        <v>196.89587026062091</v>
      </c>
      <c r="CC39" s="59">
        <f t="shared" si="11"/>
        <v>490.22920359395425</v>
      </c>
      <c r="CD39" s="59">
        <f ca="1">AVERAGE(OFFSET($CC$3,0,0,'Données projet'!$E$12+1,1))-AVERAGE(OFFSET($H$3,0,0,'Données projet'!$E$12+1,1))</f>
        <v>123.60520571614535</v>
      </c>
      <c r="CE39" s="59">
        <f t="shared" si="40"/>
        <v>119.00926870519527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0.77013253950388871</v>
      </c>
      <c r="CL39" s="21">
        <f>EXP(-LN(2)/25)*CL38+(1-EXP(-LN(2)/25))/(LN(2)/25)*Calculateur!CG39*Calculateur!CI39*VLOOKUP('Données projet'!$B$12,Paramètres!$A$1:$I$89,3,0)*0.475*44/12</f>
        <v>4.0446976168805779</v>
      </c>
      <c r="CM39" s="21">
        <f>EXP(-LN(2)/2)*CM38+(1-EXP(-LN(2)/2))/(LN(2)/2)*CG39*CJ39*VLOOKUP('Données projet'!$B$12,Paramètres!$A$1:$I$89,3,0)*0.475*44/12</f>
        <v>0.76421381138531819</v>
      </c>
      <c r="CN39" s="22">
        <f t="shared" si="12"/>
        <v>5.5790439677697847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</v>
      </c>
      <c r="CU39" s="17">
        <f>CT39*VLOOKUP('Données projet'!$B$13,Paramètres!$A$1:$I$89,3,0)*VLOOKUP('Données projet'!$B$13,Paramètres!$A$1:$I$89,5,0)</f>
        <v>89.051040000000015</v>
      </c>
      <c r="CV39" s="13">
        <f t="shared" si="41"/>
        <v>24.336217692365963</v>
      </c>
      <c r="CW39" s="20">
        <f t="shared" si="13"/>
        <v>197.48280714753739</v>
      </c>
      <c r="CX39" s="59">
        <f t="shared" si="14"/>
        <v>490.81614048087067</v>
      </c>
      <c r="CY39" s="59">
        <f ca="1">AVERAGE(OFFSET($CX$3,0,0,'Données projet'!$E$13+1,1))-AVERAGE(OFFSET($H$3,0,0,'Données projet'!$E$13+1,1))</f>
        <v>177.94336949486529</v>
      </c>
      <c r="CZ39" s="59">
        <f t="shared" si="42"/>
        <v>65.559373432574603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</v>
      </c>
      <c r="DO39" s="12">
        <f>IF('Données projet'!$A$166&gt;35,DO38+DN39-DW38,IF(A39&lt;'Données projet'!$A$166,$DL$205^A39,IF(A39='Données projet'!$A$166,'Données projet'!$B$166,DO38+DN39-DW38)))</f>
        <v>188.99999999999997</v>
      </c>
      <c r="DP39" s="17">
        <f>DO39*VLOOKUP('Données projet'!$B$14,Paramètres!$A$1:$I$89,3,0)*VLOOKUP('Données projet'!$B$14,Paramètres!$A$1:$I$89,5,0)</f>
        <v>113.02200000000001</v>
      </c>
      <c r="DQ39" s="13">
        <f t="shared" si="43"/>
        <v>30.041864379091852</v>
      </c>
      <c r="DR39" s="20">
        <f t="shared" si="16"/>
        <v>249.16956379358496</v>
      </c>
      <c r="DS39" s="59">
        <f t="shared" si="17"/>
        <v>542.50289712691824</v>
      </c>
      <c r="DT39" s="59">
        <f ca="1">AVERAGE(OFFSET($DS$3,0,0,'Données projet'!$E$14+1,1))-AVERAGE(OFFSET($H$3,0,0,'Données projet'!$E$14+1,1))</f>
        <v>165.39579887388538</v>
      </c>
      <c r="DU39" s="59">
        <f t="shared" si="44"/>
        <v>155.89639262545802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6.1721341693793601</v>
      </c>
      <c r="EC39" s="21">
        <f>EXP(-LN(2)/2)*EC38+(1-EXP(-LN(2)/2))/(LN(2)/2)*DW39*DZ39*VLOOKUP('Données projet'!$B$14,Paramètres!$A$1:$I$89,3,0)*0.475*44/12</f>
        <v>1.735004466922119</v>
      </c>
      <c r="ED39" s="22">
        <f t="shared" si="18"/>
        <v>7.9071386363014788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20.2</v>
      </c>
      <c r="EJ39" s="12">
        <f>IF('Données projet'!$A$192&gt;35,EJ38+EI39-ER38,IF(A39&lt;'Données projet'!$A$192,$EG$205^A39,IF(A39='Données projet'!$A$192,'Données projet'!$B$192,EJ38+EI39-ER38)))</f>
        <v>315.19999999999993</v>
      </c>
      <c r="EK39" s="17">
        <f>EJ39*VLOOKUP('Données projet'!$B$15,Paramètres!$A$1:$I$89,3,0)*VLOOKUP('Données projet'!$B$15,Paramètres!$A$1:$I$89,5,0)</f>
        <v>151.61119999999997</v>
      </c>
      <c r="EL39" s="13">
        <f t="shared" si="45"/>
        <v>38.944508614536844</v>
      </c>
      <c r="EM39" s="20">
        <f t="shared" si="19"/>
        <v>331.88452583698489</v>
      </c>
      <c r="EN39" s="59">
        <f t="shared" si="20"/>
        <v>625.21785917031821</v>
      </c>
      <c r="EO39" s="59">
        <f ca="1">AVERAGE(OFFSET($EN$3,0,0,'Données projet'!$E$15+1,1))-AVERAGE(OFFSET($H$3,0,0,'Données projet'!$E$15+1,1))</f>
        <v>252.30925789500111</v>
      </c>
      <c r="EP39" s="59">
        <f t="shared" si="46"/>
        <v>213.96033794804805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4.1134375797648648</v>
      </c>
      <c r="EW39" s="21">
        <f>EXP(-LN(2)/25)*EW38+(1-EXP(-LN(2)/25))/(LN(2)/25)*Calculateur!ER39*Calculateur!ET39*VLOOKUP('Données projet'!$B$15,Paramètres!$A$1:$I$89,3,0)*0.475*44/12</f>
        <v>7.8141094878222379</v>
      </c>
      <c r="EX39" s="21">
        <f>EXP(-LN(2)/2)*EX38+(1-EXP(-LN(2)/2))/(LN(2)/2)*ER39*EU39*VLOOKUP('Données projet'!$B$15,Paramètres!$A$1:$I$89,3,0)*0.475*44/12</f>
        <v>1.7971923258637601</v>
      </c>
      <c r="EY39" s="22">
        <f t="shared" si="21"/>
        <v>13.724739393450863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20.2</v>
      </c>
      <c r="FE39" s="12">
        <f>IF('Données projet'!$A$218&gt;35,FE38+FD39-FM38,IF(A39&lt;'Données projet'!$A$218,$FB$205^A39,IF(A39='Données projet'!$A$218,'Données projet'!$B$218,FE38+FD39-FM38)))</f>
        <v>315.19999999999993</v>
      </c>
      <c r="FF39" s="17">
        <f>FE39*VLOOKUP('Données projet'!$B$16,Paramètres!$A$1:$I$89,3,0)*VLOOKUP('Données projet'!$B$16,Paramètres!$A$1:$I$89,5,0)</f>
        <v>151.61119999999997</v>
      </c>
      <c r="FG39" s="13">
        <f t="shared" si="47"/>
        <v>38.944508614536844</v>
      </c>
      <c r="FH39" s="20">
        <f t="shared" si="22"/>
        <v>331.88452583698489</v>
      </c>
      <c r="FI39" s="59">
        <f t="shared" si="23"/>
        <v>625.21785917031821</v>
      </c>
      <c r="FJ39" s="59">
        <f ca="1">AVERAGE(OFFSET($FI$3,0,0,'Données projet'!$E$16+1,1))-AVERAGE(OFFSET($H$3,0,0,'Données projet'!$E$16+1,1))</f>
        <v>252.30925789500111</v>
      </c>
      <c r="FK39" s="59">
        <f t="shared" si="48"/>
        <v>213.96033794804805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4.1134375797648648</v>
      </c>
      <c r="FR39" s="21">
        <f>EXP(-LN(2)/25)*FR38+(1-EXP(-LN(2)/25))/(LN(2)/25)*Calculateur!FM39*Calculateur!FO39*VLOOKUP('Données projet'!$B$16,Paramètres!$A$1:$I$89,3,0)*0.475*44/12</f>
        <v>7.8141094878222379</v>
      </c>
      <c r="FS39" s="21">
        <f>EXP(-LN(2)/2)*FS38+(1-EXP(-LN(2)/2))/(LN(2)/2)*FM39*FP39*VLOOKUP('Données projet'!$B$16,Paramètres!$A$1:$I$89,3,0)*0.475*44/12</f>
        <v>1.7971923258637601</v>
      </c>
      <c r="FT39" s="22">
        <f t="shared" si="24"/>
        <v>13.724739393450863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10</v>
      </c>
      <c r="FZ39" s="12">
        <f>IF('Données projet'!$A$244&gt;35,FZ38+FY39-GH38,IF(A39&lt;'Données projet'!$A$244,$FW$205^A39,IF(A39='Données projet'!$A$244,'Données projet'!$B$244,FZ38+FY39-GH38)))</f>
        <v>174.99999999999994</v>
      </c>
      <c r="GA39" s="17">
        <f>FZ39*VLOOKUP('Données projet'!$B$17,Paramètres!$A$1:$I$89,3,0)*VLOOKUP('Données projet'!$B$17,Paramètres!$A$1:$I$89,5,0)</f>
        <v>104.64999999999996</v>
      </c>
      <c r="GB39" s="13">
        <f t="shared" si="49"/>
        <v>28.066848529735861</v>
      </c>
      <c r="GC39" s="20">
        <f t="shared" si="25"/>
        <v>231.14851118928985</v>
      </c>
      <c r="GD39" s="59">
        <f t="shared" si="26"/>
        <v>524.48184452262319</v>
      </c>
      <c r="GE39" s="59">
        <f ca="1">AVERAGE(OFFSET($GD$3,0,0,'Données projet'!$E$17+1,1))-AVERAGE(OFFSET($H$3,0,0,'Données projet'!$E$17+1,1))</f>
        <v>117.54638373164624</v>
      </c>
      <c r="GF39" s="59">
        <f t="shared" si="50"/>
        <v>133.0740262536583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1.9644393216857026</v>
      </c>
      <c r="GM39" s="21">
        <f>EXP(-LN(2)/25)*GM38+(1-EXP(-LN(2)/25))/(LN(2)/25)*Calculateur!GH39*Calculateur!GJ39*VLOOKUP('Données projet'!$B$17,Paramètres!$A$1:$I$89,3,0)*0.475*44/12</f>
        <v>7.3290795832782036</v>
      </c>
      <c r="GN39" s="21">
        <f>EXP(-LN(2)/2)*GN38+(1-EXP(-LN(2)/2))/(LN(2)/2)*GH39*GK39*VLOOKUP('Données projet'!$B$17,Paramètres!$A$1:$I$89,3,0)*0.475*44/12</f>
        <v>0.50569032633461752</v>
      </c>
      <c r="GO39" s="21">
        <f t="shared" si="27"/>
        <v>9.7992092312985246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2.8421709430404007E-14</v>
      </c>
      <c r="GV39" s="17">
        <f>GU39*VLOOKUP('Données projet'!$B$18,Paramètres!$A$1:$I$89,3,0)*VLOOKUP('Données projet'!$B$18,Paramètres!$A$1:$I$89,5,0)</f>
        <v>1.3567387213697657E-14</v>
      </c>
      <c r="GW39" s="13">
        <f t="shared" si="51"/>
        <v>2.5717320947985821E-13</v>
      </c>
      <c r="GX39" s="20">
        <f t="shared" si="28"/>
        <v>4.7153987257460977E-13</v>
      </c>
      <c r="GY39" s="59">
        <f t="shared" si="29"/>
        <v>293.33333333333377</v>
      </c>
      <c r="GZ39" s="59">
        <f ca="1">AVERAGE(OFFSET($GY$3,0,0,'Données projet'!$E$18+1,1))-AVERAGE(OFFSET($H$3,0,0,'Données projet'!$E$18+1,1))</f>
        <v>43.147469606759159</v>
      </c>
      <c r="HA39" s="59">
        <f t="shared" si="52"/>
        <v>147.46995307968473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32.021765906120919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6.889743215452368E-2</v>
      </c>
      <c r="HJ39" s="22">
        <f t="shared" si="30"/>
        <v>32.090663338275441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5.2</v>
      </c>
      <c r="N40" s="13">
        <f>IF('Données projet'!$A$36&gt;35,N39+M40-V39,IF(A40&lt;'Données projet'!$A$36,$K$205^A40,IF(A40='Données projet'!$A$36,'Données projet'!$B$36,N39+M40-V39)))</f>
        <v>90.4</v>
      </c>
      <c r="O40" s="13">
        <f>N40*VLOOKUP('Données projet'!$B$9,Paramètres!$A$1:$I$89,3,0)*VLOOKUP('Données projet'!$B$9,Paramètres!$A$1:$I$89,5,0)</f>
        <v>81.79392</v>
      </c>
      <c r="P40" s="13">
        <f t="shared" si="33"/>
        <v>22.575239179244807</v>
      </c>
      <c r="Q40" s="20">
        <f t="shared" si="53"/>
        <v>181.77628557051801</v>
      </c>
      <c r="R40" s="59">
        <f t="shared" si="0"/>
        <v>475.10961890385136</v>
      </c>
      <c r="S40" s="59">
        <f ca="1">AVERAGE(OFFSET($R$3,0,0,'Données projet'!$E$9+1,1))-AVERAGE(OFFSET($H$3,0,0,'Données projet'!$E$9+1,1))</f>
        <v>138.8931001150624</v>
      </c>
      <c r="T40" s="59">
        <f t="shared" si="34"/>
        <v>48.964659354096625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8.6999999999999993</v>
      </c>
      <c r="AI40" s="13">
        <f>IF('Données projet'!$A$62&gt;35,AI39+AH40-AQ39,IF(A40&lt;'Données projet'!$A$62,$AF$205^A40,IF(A40='Données projet'!$A$62,'Données projet'!$B$62,AI39+AH40-AQ39)))</f>
        <v>173.89999999999989</v>
      </c>
      <c r="AJ40" s="13">
        <f>AI40*VLOOKUP('Données projet'!$B$10,Paramètres!$A$1:$I$89,3,0)*VLOOKUP('Données projet'!$B$10,Paramètres!$A$1:$I$89,5,0)</f>
        <v>151.91903999999991</v>
      </c>
      <c r="AK40" s="13">
        <f t="shared" si="35"/>
        <v>39.014371161543409</v>
      </c>
      <c r="AL40" s="20">
        <f t="shared" si="4"/>
        <v>332.54235777302125</v>
      </c>
      <c r="AM40" s="59">
        <f t="shared" si="5"/>
        <v>625.87569110635457</v>
      </c>
      <c r="AN40" s="59">
        <f ca="1">AVERAGE(OFFSET($AM$3,0,0,'Données projet'!$E$10+1,1))-AVERAGE(OFFSET($H$3,0,0,'Données projet'!$E$10+1,1))</f>
        <v>191.94797389630673</v>
      </c>
      <c r="AO40" s="59">
        <f t="shared" si="36"/>
        <v>273.52540822767878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11.569931012657618</v>
      </c>
      <c r="AW40" s="21">
        <f>EXP(-LN(2)/2)*AW39+(1-EXP(-LN(2)/2))/(LN(2)/2)*AQ40*AT40*VLOOKUP('Données projet'!$B$10,Paramètres!$A$1:$I$89,3,0)*0.475*44/12</f>
        <v>2.0508803918495433</v>
      </c>
      <c r="AX40" s="21">
        <f t="shared" si="6"/>
        <v>15.862183091870261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11.3</v>
      </c>
      <c r="BD40" s="12">
        <f>IF('Données projet'!$A$88&gt;35,BD39+BC40-BL39,IF(A40&lt;'Données projet'!$A$88,$BA$205^A40,IF(A40='Données projet'!$A$88,'Données projet'!$B$88,BD39+BC40-BL39)))</f>
        <v>200.10000000000002</v>
      </c>
      <c r="BE40" s="13">
        <f>BD40*VLOOKUP('Données projet'!$B$11,Paramètres!$A$1:$I$89,3,0)*VLOOKUP('Données projet'!$B$11,Paramètres!$A$1:$I$89,5,0)</f>
        <v>124.86240000000001</v>
      </c>
      <c r="BF40" s="13">
        <f t="shared" si="37"/>
        <v>32.806439280561598</v>
      </c>
      <c r="BG40" s="20">
        <f t="shared" si="7"/>
        <v>274.60656174697812</v>
      </c>
      <c r="BH40" s="59">
        <f t="shared" si="8"/>
        <v>567.93989508031143</v>
      </c>
      <c r="BI40" s="59">
        <f ca="1">AVERAGE(OFFSET($BH$3,0,0,'Données projet'!$E$11+1,1))-AVERAGE(OFFSET($H$3,0,0,'Données projet'!$E$11+1,1))</f>
        <v>162.91481796710048</v>
      </c>
      <c r="BJ40" s="59">
        <f t="shared" si="38"/>
        <v>182.56192390367823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2.4212867440381554</v>
      </c>
      <c r="BQ40" s="21">
        <f>EXP(-LN(2)/25)*BQ39+(1-EXP(-LN(2)/25))/(LN(2)/25)*Calculateur!BL40*Calculateur!BN40*VLOOKUP('Données projet'!$B$11,Paramètres!$A$1:$I$89,3,0)*0.475*44/12</f>
        <v>12.583315889311137</v>
      </c>
      <c r="BR40" s="21">
        <f>EXP(-LN(2)/2)*BR39+(1-EXP(-LN(2)/2))/(LN(2)/2)*BL40*BO40*VLOOKUP('Données projet'!$B$11,Paramètres!$A$1:$I$89,3,0)*0.475*44/12</f>
        <v>1.5883134524165918</v>
      </c>
      <c r="BS40" s="22">
        <f t="shared" si="9"/>
        <v>16.592916085765886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196.7</v>
      </c>
      <c r="BZ40" s="13">
        <f>BY40*VLOOKUP('Données projet'!$B$12,Paramètres!$A$1:$I$89,3,0)*VLOOKUP('Données projet'!$B$12,Paramètres!$A$1:$I$89,5,0)</f>
        <v>92.055599999999998</v>
      </c>
      <c r="CA40" s="13">
        <f t="shared" si="39"/>
        <v>25.060332740251528</v>
      </c>
      <c r="CB40" s="20">
        <f t="shared" si="10"/>
        <v>203.97691618927138</v>
      </c>
      <c r="CC40" s="59">
        <f t="shared" si="11"/>
        <v>497.31024952260469</v>
      </c>
      <c r="CD40" s="59">
        <f ca="1">AVERAGE(OFFSET($CC$3,0,0,'Données projet'!$E$12+1,1))-AVERAGE(OFFSET($H$3,0,0,'Données projet'!$E$12+1,1))</f>
        <v>123.60520571614535</v>
      </c>
      <c r="CE40" s="59">
        <f t="shared" si="40"/>
        <v>119.00926870519527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0.75503071013868417</v>
      </c>
      <c r="CL40" s="21">
        <f>EXP(-LN(2)/25)*CL39+(1-EXP(-LN(2)/25))/(LN(2)/25)*Calculateur!CG40*Calculateur!CI40*VLOOKUP('Données projet'!$B$12,Paramètres!$A$1:$I$89,3,0)*0.475*44/12</f>
        <v>3.934095147845575</v>
      </c>
      <c r="CM40" s="21">
        <f>EXP(-LN(2)/2)*CM39+(1-EXP(-LN(2)/2))/(LN(2)/2)*CG40*CJ40*VLOOKUP('Données projet'!$B$12,Paramètres!$A$1:$I$89,3,0)*0.475*44/12</f>
        <v>0.54038076830697568</v>
      </c>
      <c r="CN40" s="22">
        <f t="shared" si="12"/>
        <v>5.2295066262912346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</v>
      </c>
      <c r="CU40" s="17">
        <f>CT40*VLOOKUP('Données projet'!$B$13,Paramètres!$A$1:$I$89,3,0)*VLOOKUP('Données projet'!$B$13,Paramètres!$A$1:$I$89,5,0)</f>
        <v>94.486080000000015</v>
      </c>
      <c r="CV40" s="13">
        <f t="shared" si="41"/>
        <v>25.64407750575727</v>
      </c>
      <c r="CW40" s="20">
        <f t="shared" si="13"/>
        <v>209.22669098919391</v>
      </c>
      <c r="CX40" s="59">
        <f t="shared" si="14"/>
        <v>502.56002432252723</v>
      </c>
      <c r="CY40" s="59">
        <f ca="1">AVERAGE(OFFSET($CX$3,0,0,'Données projet'!$E$13+1,1))-AVERAGE(OFFSET($H$3,0,0,'Données projet'!$E$13+1,1))</f>
        <v>177.94336949486529</v>
      </c>
      <c r="CZ40" s="59">
        <f t="shared" si="42"/>
        <v>65.559373432574603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</v>
      </c>
      <c r="DO40" s="12">
        <f>IF('Données projet'!$A$166&gt;35,DO39+DN40-DW39,IF(A40&lt;'Données projet'!$A$166,$DL$205^A40,IF(A40='Données projet'!$A$166,'Données projet'!$B$166,DO39+DN40-DW39)))</f>
        <v>199.99999999999997</v>
      </c>
      <c r="DP40" s="17">
        <f>DO40*VLOOKUP('Données projet'!$B$14,Paramètres!$A$1:$I$89,3,0)*VLOOKUP('Données projet'!$B$14,Paramètres!$A$1:$I$89,5,0)</f>
        <v>119.59999999999998</v>
      </c>
      <c r="DQ40" s="13">
        <f t="shared" si="43"/>
        <v>31.581687741452679</v>
      </c>
      <c r="DR40" s="20">
        <f t="shared" si="16"/>
        <v>263.3081061496967</v>
      </c>
      <c r="DS40" s="59">
        <f t="shared" si="17"/>
        <v>556.64143948303001</v>
      </c>
      <c r="DT40" s="59">
        <f ca="1">AVERAGE(OFFSET($DS$3,0,0,'Données projet'!$E$14+1,1))-AVERAGE(OFFSET($H$3,0,0,'Données projet'!$E$14+1,1))</f>
        <v>165.39579887388538</v>
      </c>
      <c r="DU40" s="59">
        <f t="shared" si="44"/>
        <v>155.89639262545802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6.0033568359392522</v>
      </c>
      <c r="EC40" s="21">
        <f>EXP(-LN(2)/2)*EC39+(1-EXP(-LN(2)/2))/(LN(2)/2)*DW40*DZ40*VLOOKUP('Données projet'!$B$14,Paramètres!$A$1:$I$89,3,0)*0.475*44/12</f>
        <v>1.2268334239495813</v>
      </c>
      <c r="ED40" s="22">
        <f t="shared" si="18"/>
        <v>7.2301902598888335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20.2</v>
      </c>
      <c r="EJ40" s="12">
        <f>IF('Données projet'!$A$192&gt;35,EJ39+EI40-ER39,IF(A40&lt;'Données projet'!$A$192,$EG$205^A40,IF(A40='Données projet'!$A$192,'Données projet'!$B$192,EJ39+EI40-ER39)))</f>
        <v>335.39999999999992</v>
      </c>
      <c r="EK40" s="17">
        <f>EJ40*VLOOKUP('Données projet'!$B$15,Paramètres!$A$1:$I$89,3,0)*VLOOKUP('Données projet'!$B$15,Paramètres!$A$1:$I$89,5,0)</f>
        <v>161.32739999999995</v>
      </c>
      <c r="EL40" s="13">
        <f t="shared" si="45"/>
        <v>41.141770064042859</v>
      </c>
      <c r="EM40" s="20">
        <f t="shared" si="19"/>
        <v>352.63380452820792</v>
      </c>
      <c r="EN40" s="59">
        <f t="shared" si="20"/>
        <v>645.96713786154123</v>
      </c>
      <c r="EO40" s="59">
        <f ca="1">AVERAGE(OFFSET($EN$3,0,0,'Données projet'!$E$15+1,1))-AVERAGE(OFFSET($H$3,0,0,'Données projet'!$E$15+1,1))</f>
        <v>252.30925789500111</v>
      </c>
      <c r="EP40" s="59">
        <f t="shared" si="46"/>
        <v>213.96033794804805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4.0327755777748617</v>
      </c>
      <c r="EW40" s="21">
        <f>EXP(-LN(2)/25)*EW39+(1-EXP(-LN(2)/25))/(LN(2)/25)*Calculateur!ER40*Calculateur!ET40*VLOOKUP('Données projet'!$B$15,Paramètres!$A$1:$I$89,3,0)*0.475*44/12</f>
        <v>7.6004322529515802</v>
      </c>
      <c r="EX40" s="21">
        <f>EXP(-LN(2)/2)*EX39+(1-EXP(-LN(2)/2))/(LN(2)/2)*ER40*EU40*VLOOKUP('Données projet'!$B$15,Paramètres!$A$1:$I$89,3,0)*0.475*44/12</f>
        <v>1.2708068807146884</v>
      </c>
      <c r="EY40" s="22">
        <f t="shared" si="21"/>
        <v>12.90401471144113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20.2</v>
      </c>
      <c r="FE40" s="12">
        <f>IF('Données projet'!$A$218&gt;35,FE39+FD40-FM39,IF(A40&lt;'Données projet'!$A$218,$FB$205^A40,IF(A40='Données projet'!$A$218,'Données projet'!$B$218,FE39+FD40-FM39)))</f>
        <v>335.39999999999992</v>
      </c>
      <c r="FF40" s="17">
        <f>FE40*VLOOKUP('Données projet'!$B$16,Paramètres!$A$1:$I$89,3,0)*VLOOKUP('Données projet'!$B$16,Paramètres!$A$1:$I$89,5,0)</f>
        <v>161.32739999999995</v>
      </c>
      <c r="FG40" s="13">
        <f t="shared" si="47"/>
        <v>41.141770064042859</v>
      </c>
      <c r="FH40" s="20">
        <f t="shared" si="22"/>
        <v>352.63380452820792</v>
      </c>
      <c r="FI40" s="59">
        <f t="shared" si="23"/>
        <v>645.96713786154123</v>
      </c>
      <c r="FJ40" s="59">
        <f ca="1">AVERAGE(OFFSET($FI$3,0,0,'Données projet'!$E$16+1,1))-AVERAGE(OFFSET($H$3,0,0,'Données projet'!$E$16+1,1))</f>
        <v>252.30925789500111</v>
      </c>
      <c r="FK40" s="59">
        <f t="shared" si="48"/>
        <v>213.96033794804805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4.0327755777748617</v>
      </c>
      <c r="FR40" s="21">
        <f>EXP(-LN(2)/25)*FR39+(1-EXP(-LN(2)/25))/(LN(2)/25)*Calculateur!FM40*Calculateur!FO40*VLOOKUP('Données projet'!$B$16,Paramètres!$A$1:$I$89,3,0)*0.475*44/12</f>
        <v>7.6004322529515802</v>
      </c>
      <c r="FS40" s="21">
        <f>EXP(-LN(2)/2)*FS39+(1-EXP(-LN(2)/2))/(LN(2)/2)*FM40*FP40*VLOOKUP('Données projet'!$B$16,Paramètres!$A$1:$I$89,3,0)*0.475*44/12</f>
        <v>1.2708068807146884</v>
      </c>
      <c r="FT40" s="22">
        <f t="shared" si="24"/>
        <v>12.90401471144113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10</v>
      </c>
      <c r="FZ40" s="12">
        <f>IF('Données projet'!$A$244&gt;35,FZ39+FY40-GH39,IF(A40&lt;'Données projet'!$A$244,$FW$205^A40,IF(A40='Données projet'!$A$244,'Données projet'!$B$244,FZ39+FY40-GH39)))</f>
        <v>184.99999999999994</v>
      </c>
      <c r="GA40" s="17">
        <f>FZ40*VLOOKUP('Données projet'!$B$17,Paramètres!$A$1:$I$89,3,0)*VLOOKUP('Données projet'!$B$17,Paramètres!$A$1:$I$89,5,0)</f>
        <v>110.62999999999998</v>
      </c>
      <c r="GB40" s="13">
        <f t="shared" si="49"/>
        <v>29.479368114771006</v>
      </c>
      <c r="GC40" s="20">
        <f t="shared" si="25"/>
        <v>244.02381613322609</v>
      </c>
      <c r="GD40" s="59">
        <f t="shared" si="26"/>
        <v>537.35714946655935</v>
      </c>
      <c r="GE40" s="59">
        <f ca="1">AVERAGE(OFFSET($GD$3,0,0,'Données projet'!$E$17+1,1))-AVERAGE(OFFSET($H$3,0,0,'Données projet'!$E$17+1,1))</f>
        <v>117.54638373164624</v>
      </c>
      <c r="GF40" s="59">
        <f t="shared" si="50"/>
        <v>133.0740262536583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1.9259178647771207</v>
      </c>
      <c r="GM40" s="21">
        <f>EXP(-LN(2)/25)*GM39+(1-EXP(-LN(2)/25))/(LN(2)/25)*Calculateur!GH40*Calculateur!GJ40*VLOOKUP('Données projet'!$B$17,Paramètres!$A$1:$I$89,3,0)*0.475*44/12</f>
        <v>7.1286655166539168</v>
      </c>
      <c r="GN40" s="21">
        <f>EXP(-LN(2)/2)*GN39+(1-EXP(-LN(2)/2))/(LN(2)/2)*GH40*GK40*VLOOKUP('Données projet'!$B$17,Paramètres!$A$1:$I$89,3,0)*0.475*44/12</f>
        <v>0.35757705893164621</v>
      </c>
      <c r="GO40" s="21">
        <f t="shared" si="27"/>
        <v>9.4121604403626833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2.8421709430404007E-14</v>
      </c>
      <c r="GV40" s="17">
        <f>GU40*VLOOKUP('Données projet'!$B$18,Paramètres!$A$1:$I$89,3,0)*VLOOKUP('Données projet'!$B$18,Paramètres!$A$1:$I$89,5,0)</f>
        <v>1.3567387213697657E-14</v>
      </c>
      <c r="GW40" s="13">
        <f t="shared" si="51"/>
        <v>2.5717320947985821E-13</v>
      </c>
      <c r="GX40" s="20">
        <f t="shared" si="28"/>
        <v>4.7153987257460977E-13</v>
      </c>
      <c r="GY40" s="59">
        <f t="shared" si="29"/>
        <v>293.33333333333377</v>
      </c>
      <c r="GZ40" s="59">
        <f ca="1">AVERAGE(OFFSET($GY$3,0,0,'Données projet'!$E$18+1,1))-AVERAGE(OFFSET($H$3,0,0,'Données projet'!$E$18+1,1))</f>
        <v>43.147469606759159</v>
      </c>
      <c r="HA40" s="59">
        <f t="shared" si="52"/>
        <v>147.46995307968473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31.39383860805053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4.8717841482803781E-2</v>
      </c>
      <c r="HJ40" s="22">
        <f t="shared" si="30"/>
        <v>31.442556449533335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5.2</v>
      </c>
      <c r="N41" s="13">
        <f>IF('Données projet'!$A$36&gt;35,N40+M41-V40,IF(A41&lt;'Données projet'!$A$36,$K$205^A41,IF(A41='Données projet'!$A$36,'Données projet'!$B$36,N40+M41-V40)))</f>
        <v>95.600000000000009</v>
      </c>
      <c r="O41" s="13">
        <f>N41*VLOOKUP('Données projet'!$B$9,Paramètres!$A$1:$I$89,3,0)*VLOOKUP('Données projet'!$B$9,Paramètres!$A$1:$I$89,5,0)</f>
        <v>86.49888</v>
      </c>
      <c r="P41" s="13">
        <f t="shared" si="33"/>
        <v>23.718899159460385</v>
      </c>
      <c r="Q41" s="20">
        <f t="shared" si="53"/>
        <v>191.96263203606017</v>
      </c>
      <c r="R41" s="59">
        <f t="shared" si="0"/>
        <v>485.29596536939346</v>
      </c>
      <c r="S41" s="59">
        <f ca="1">AVERAGE(OFFSET($R$3,0,0,'Données projet'!$E$9+1,1))-AVERAGE(OFFSET($H$3,0,0,'Données projet'!$E$9+1,1))</f>
        <v>138.8931001150624</v>
      </c>
      <c r="T41" s="59">
        <f t="shared" si="34"/>
        <v>48.964659354096625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8.6999999999999993</v>
      </c>
      <c r="AI41" s="13">
        <f>IF('Données projet'!$A$62&gt;35,AI40+AH41-AQ40,IF(A41&lt;'Données projet'!$A$62,$AF$205^A41,IF(A41='Données projet'!$A$62,'Données projet'!$B$62,AI40+AH41-AQ40)))</f>
        <v>182.59999999999988</v>
      </c>
      <c r="AJ41" s="13">
        <f>AI41*VLOOKUP('Données projet'!$B$10,Paramètres!$A$1:$I$89,3,0)*VLOOKUP('Données projet'!$B$10,Paramètres!$A$1:$I$89,5,0)</f>
        <v>159.51935999999992</v>
      </c>
      <c r="AK41" s="13">
        <f t="shared" si="35"/>
        <v>40.734086738277284</v>
      </c>
      <c r="AL41" s="20">
        <f t="shared" si="4"/>
        <v>348.77475306916608</v>
      </c>
      <c r="AM41" s="59">
        <f t="shared" si="5"/>
        <v>642.10808640249934</v>
      </c>
      <c r="AN41" s="59">
        <f ca="1">AVERAGE(OFFSET($AM$3,0,0,'Données projet'!$E$10+1,1))-AVERAGE(OFFSET($H$3,0,0,'Données projet'!$E$10+1,1))</f>
        <v>191.94797389630673</v>
      </c>
      <c r="AO41" s="59">
        <f t="shared" si="36"/>
        <v>273.52540822767878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11.253550640680267</v>
      </c>
      <c r="AW41" s="21">
        <f>EXP(-LN(2)/2)*AW40+(1-EXP(-LN(2)/2))/(LN(2)/2)*AQ41*AT41*VLOOKUP('Données projet'!$B$10,Paramètres!$A$1:$I$89,3,0)*0.475*44/12</f>
        <v>1.4501914324793359</v>
      </c>
      <c r="AX41" s="21">
        <f t="shared" si="6"/>
        <v>14.901161828835251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11.3</v>
      </c>
      <c r="BD41" s="12">
        <f>IF('Données projet'!$A$88&gt;35,BD40+BC41-BL40,IF(A41&lt;'Données projet'!$A$88,$BA$205^A41,IF(A41='Données projet'!$A$88,'Données projet'!$B$88,BD40+BC41-BL40)))</f>
        <v>211.40000000000003</v>
      </c>
      <c r="BE41" s="13">
        <f>BD41*VLOOKUP('Données projet'!$B$11,Paramètres!$A$1:$I$89,3,0)*VLOOKUP('Données projet'!$B$11,Paramètres!$A$1:$I$89,5,0)</f>
        <v>131.9136</v>
      </c>
      <c r="BF41" s="13">
        <f t="shared" si="37"/>
        <v>34.438159352116003</v>
      </c>
      <c r="BG41" s="20">
        <f t="shared" si="7"/>
        <v>289.72931420493535</v>
      </c>
      <c r="BH41" s="59">
        <f t="shared" si="8"/>
        <v>583.06264753826872</v>
      </c>
      <c r="BI41" s="59">
        <f ca="1">AVERAGE(OFFSET($BH$3,0,0,'Données projet'!$E$11+1,1))-AVERAGE(OFFSET($H$3,0,0,'Données projet'!$E$11+1,1))</f>
        <v>162.91481796710048</v>
      </c>
      <c r="BJ41" s="59">
        <f t="shared" si="38"/>
        <v>182.56192390367823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2.3738067878266551</v>
      </c>
      <c r="BQ41" s="21">
        <f>EXP(-LN(2)/25)*BQ40+(1-EXP(-LN(2)/25))/(LN(2)/25)*Calculateur!BL41*Calculateur!BN41*VLOOKUP('Données projet'!$B$11,Paramètres!$A$1:$I$89,3,0)*0.475*44/12</f>
        <v>12.239224454590101</v>
      </c>
      <c r="BR41" s="21">
        <f>EXP(-LN(2)/2)*BR40+(1-EXP(-LN(2)/2))/(LN(2)/2)*BL41*BO41*VLOOKUP('Données projet'!$B$11,Paramètres!$A$1:$I$89,3,0)*0.475*44/12</f>
        <v>1.1231072128535888</v>
      </c>
      <c r="BS41" s="22">
        <f t="shared" si="9"/>
        <v>15.736138455270344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203.7</v>
      </c>
      <c r="BZ41" s="13">
        <f>BY41*VLOOKUP('Données projet'!$B$12,Paramètres!$A$1:$I$89,3,0)*VLOOKUP('Données projet'!$B$12,Paramètres!$A$1:$I$89,5,0)</f>
        <v>95.331599999999995</v>
      </c>
      <c r="CA41" s="13">
        <f t="shared" si="39"/>
        <v>25.84673998337389</v>
      </c>
      <c r="CB41" s="20">
        <f t="shared" si="10"/>
        <v>211.05227547104286</v>
      </c>
      <c r="CC41" s="59">
        <f t="shared" si="11"/>
        <v>504.38560880437615</v>
      </c>
      <c r="CD41" s="59">
        <f ca="1">AVERAGE(OFFSET($CC$3,0,0,'Données projet'!$E$12+1,1))-AVERAGE(OFFSET($H$3,0,0,'Données projet'!$E$12+1,1))</f>
        <v>123.60520571614535</v>
      </c>
      <c r="CE41" s="59">
        <f t="shared" si="40"/>
        <v>119.00926870519527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0.74022501843612487</v>
      </c>
      <c r="CL41" s="21">
        <f>EXP(-LN(2)/25)*CL40+(1-EXP(-LN(2)/25))/(LN(2)/25)*Calculateur!CG41*Calculateur!CI41*VLOOKUP('Données projet'!$B$12,Paramètres!$A$1:$I$89,3,0)*0.475*44/12</f>
        <v>3.8265171091426655</v>
      </c>
      <c r="CM41" s="21">
        <f>EXP(-LN(2)/2)*CM40+(1-EXP(-LN(2)/2))/(LN(2)/2)*CG41*CJ41*VLOOKUP('Données projet'!$B$12,Paramètres!$A$1:$I$89,3,0)*0.475*44/12</f>
        <v>0.38210690569265909</v>
      </c>
      <c r="CN41" s="22">
        <f t="shared" si="12"/>
        <v>4.9488490332714496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95.600000000000009</v>
      </c>
      <c r="CU41" s="17">
        <f>CT41*VLOOKUP('Données projet'!$B$13,Paramètres!$A$1:$I$89,3,0)*VLOOKUP('Données projet'!$B$13,Paramètres!$A$1:$I$89,5,0)</f>
        <v>99.921120000000016</v>
      </c>
      <c r="CV41" s="13">
        <f t="shared" si="41"/>
        <v>26.943204613116791</v>
      </c>
      <c r="CW41" s="20">
        <f t="shared" si="13"/>
        <v>220.95536536784508</v>
      </c>
      <c r="CX41" s="59">
        <f t="shared" si="14"/>
        <v>514.28869870117842</v>
      </c>
      <c r="CY41" s="59">
        <f ca="1">AVERAGE(OFFSET($CX$3,0,0,'Données projet'!$E$13+1,1))-AVERAGE(OFFSET($H$3,0,0,'Données projet'!$E$13+1,1))</f>
        <v>177.94336949486529</v>
      </c>
      <c r="CZ41" s="59">
        <f t="shared" si="42"/>
        <v>65.559373432574603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</v>
      </c>
      <c r="DO41" s="12">
        <f>IF('Données projet'!$A$166&gt;35,DO40+DN41-DW40,IF(A41&lt;'Données projet'!$A$166,$DL$205^A41,IF(A41='Données projet'!$A$166,'Données projet'!$B$166,DO40+DN41-DW40)))</f>
        <v>210.99999999999997</v>
      </c>
      <c r="DP41" s="17">
        <f>DO41*VLOOKUP('Données projet'!$B$14,Paramètres!$A$1:$I$89,3,0)*VLOOKUP('Données projet'!$B$14,Paramètres!$A$1:$I$89,5,0)</f>
        <v>126.17799999999998</v>
      </c>
      <c r="DQ41" s="13">
        <f t="shared" si="43"/>
        <v>33.111679410346248</v>
      </c>
      <c r="DR41" s="20">
        <f t="shared" si="16"/>
        <v>277.42952497301968</v>
      </c>
      <c r="DS41" s="59">
        <f t="shared" si="17"/>
        <v>570.762858306353</v>
      </c>
      <c r="DT41" s="59">
        <f ca="1">AVERAGE(OFFSET($DS$3,0,0,'Données projet'!$E$14+1,1))-AVERAGE(OFFSET($H$3,0,0,'Données projet'!$E$14+1,1))</f>
        <v>165.39579887388538</v>
      </c>
      <c r="DU41" s="59">
        <f t="shared" si="44"/>
        <v>155.89639262545802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5.8391947275576781</v>
      </c>
      <c r="EC41" s="21">
        <f>EXP(-LN(2)/2)*EC40+(1-EXP(-LN(2)/2))/(LN(2)/2)*DW41*DZ41*VLOOKUP('Données projet'!$B$14,Paramètres!$A$1:$I$89,3,0)*0.475*44/12</f>
        <v>0.86750223346105948</v>
      </c>
      <c r="ED41" s="22">
        <f t="shared" si="18"/>
        <v>6.7066969610187375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20.2</v>
      </c>
      <c r="EJ41" s="12">
        <f>IF('Données projet'!$A$192&gt;35,EJ40+EI41-ER40,IF(A41&lt;'Données projet'!$A$192,$EG$205^A41,IF(A41='Données projet'!$A$192,'Données projet'!$B$192,EJ40+EI41-ER40)))</f>
        <v>355.59999999999991</v>
      </c>
      <c r="EK41" s="17">
        <f>EJ41*VLOOKUP('Données projet'!$B$15,Paramètres!$A$1:$I$89,3,0)*VLOOKUP('Données projet'!$B$15,Paramètres!$A$1:$I$89,5,0)</f>
        <v>171.04359999999997</v>
      </c>
      <c r="EL41" s="13">
        <f t="shared" si="45"/>
        <v>43.323671951889153</v>
      </c>
      <c r="EM41" s="20">
        <f t="shared" si="19"/>
        <v>373.35633198287354</v>
      </c>
      <c r="EN41" s="59">
        <f t="shared" si="20"/>
        <v>666.68966531620686</v>
      </c>
      <c r="EO41" s="59">
        <f ca="1">AVERAGE(OFFSET($EN$3,0,0,'Données projet'!$E$15+1,1))-AVERAGE(OFFSET($H$3,0,0,'Données projet'!$E$15+1,1))</f>
        <v>252.30925789500111</v>
      </c>
      <c r="EP41" s="59">
        <f t="shared" si="46"/>
        <v>213.96033794804805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3.9536953084449191</v>
      </c>
      <c r="EW41" s="21">
        <f>EXP(-LN(2)/25)*EW40+(1-EXP(-LN(2)/25))/(LN(2)/25)*Calculateur!ER41*Calculateur!ET41*VLOOKUP('Données projet'!$B$15,Paramètres!$A$1:$I$89,3,0)*0.475*44/12</f>
        <v>7.3925980333052577</v>
      </c>
      <c r="EX41" s="21">
        <f>EXP(-LN(2)/2)*EX40+(1-EXP(-LN(2)/2))/(LN(2)/2)*ER41*EU41*VLOOKUP('Données projet'!$B$15,Paramètres!$A$1:$I$89,3,0)*0.475*44/12</f>
        <v>0.89859616293188027</v>
      </c>
      <c r="EY41" s="22">
        <f t="shared" si="21"/>
        <v>12.244889504682057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20.2</v>
      </c>
      <c r="FE41" s="12">
        <f>IF('Données projet'!$A$218&gt;35,FE40+FD41-FM40,IF(A41&lt;'Données projet'!$A$218,$FB$205^A41,IF(A41='Données projet'!$A$218,'Données projet'!$B$218,FE40+FD41-FM40)))</f>
        <v>355.59999999999991</v>
      </c>
      <c r="FF41" s="17">
        <f>FE41*VLOOKUP('Données projet'!$B$16,Paramètres!$A$1:$I$89,3,0)*VLOOKUP('Données projet'!$B$16,Paramètres!$A$1:$I$89,5,0)</f>
        <v>171.04359999999997</v>
      </c>
      <c r="FG41" s="13">
        <f t="shared" si="47"/>
        <v>43.323671951889153</v>
      </c>
      <c r="FH41" s="20">
        <f t="shared" si="22"/>
        <v>373.35633198287354</v>
      </c>
      <c r="FI41" s="59">
        <f t="shared" si="23"/>
        <v>666.68966531620686</v>
      </c>
      <c r="FJ41" s="59">
        <f ca="1">AVERAGE(OFFSET($FI$3,0,0,'Données projet'!$E$16+1,1))-AVERAGE(OFFSET($H$3,0,0,'Données projet'!$E$16+1,1))</f>
        <v>252.30925789500111</v>
      </c>
      <c r="FK41" s="59">
        <f t="shared" si="48"/>
        <v>213.96033794804805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3.9536953084449191</v>
      </c>
      <c r="FR41" s="21">
        <f>EXP(-LN(2)/25)*FR40+(1-EXP(-LN(2)/25))/(LN(2)/25)*Calculateur!FM41*Calculateur!FO41*VLOOKUP('Données projet'!$B$16,Paramètres!$A$1:$I$89,3,0)*0.475*44/12</f>
        <v>7.3925980333052577</v>
      </c>
      <c r="FS41" s="21">
        <f>EXP(-LN(2)/2)*FS40+(1-EXP(-LN(2)/2))/(LN(2)/2)*FM41*FP41*VLOOKUP('Données projet'!$B$16,Paramètres!$A$1:$I$89,3,0)*0.475*44/12</f>
        <v>0.89859616293188027</v>
      </c>
      <c r="FT41" s="22">
        <f t="shared" si="24"/>
        <v>12.244889504682057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10</v>
      </c>
      <c r="FZ41" s="12">
        <f>IF('Données projet'!$A$244&gt;35,FZ40+FY41-GH40,IF(A41&lt;'Données projet'!$A$244,$FW$205^A41,IF(A41='Données projet'!$A$244,'Données projet'!$B$244,FZ40+FY41-GH40)))</f>
        <v>194.99999999999994</v>
      </c>
      <c r="GA41" s="17">
        <f>FZ41*VLOOKUP('Données projet'!$B$17,Paramètres!$A$1:$I$89,3,0)*VLOOKUP('Données projet'!$B$17,Paramètres!$A$1:$I$89,5,0)</f>
        <v>116.60999999999997</v>
      </c>
      <c r="GB41" s="13">
        <f t="shared" si="49"/>
        <v>30.883023623410974</v>
      </c>
      <c r="GC41" s="20">
        <f t="shared" si="25"/>
        <v>256.88368281077408</v>
      </c>
      <c r="GD41" s="59">
        <f t="shared" si="26"/>
        <v>550.21701614410745</v>
      </c>
      <c r="GE41" s="59">
        <f ca="1">AVERAGE(OFFSET($GD$3,0,0,'Données projet'!$E$17+1,1))-AVERAGE(OFFSET($H$3,0,0,'Données projet'!$E$17+1,1))</f>
        <v>117.54638373164624</v>
      </c>
      <c r="GF41" s="59">
        <f t="shared" si="50"/>
        <v>133.0740262536583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1.8881517901427474</v>
      </c>
      <c r="GM41" s="21">
        <f>EXP(-LN(2)/25)*GM40+(1-EXP(-LN(2)/25))/(LN(2)/25)*Calculateur!GH41*Calculateur!GJ41*VLOOKUP('Données projet'!$B$17,Paramètres!$A$1:$I$89,3,0)*0.475*44/12</f>
        <v>6.9337317832207885</v>
      </c>
      <c r="GN41" s="21">
        <f>EXP(-LN(2)/2)*GN40+(1-EXP(-LN(2)/2))/(LN(2)/2)*GH41*GK41*VLOOKUP('Données projet'!$B$17,Paramètres!$A$1:$I$89,3,0)*0.475*44/12</f>
        <v>0.25284516316730876</v>
      </c>
      <c r="GO41" s="21">
        <f t="shared" si="27"/>
        <v>9.0747287365308438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2.8421709430404007E-14</v>
      </c>
      <c r="GV41" s="17">
        <f>GU41*VLOOKUP('Données projet'!$B$18,Paramètres!$A$1:$I$89,3,0)*VLOOKUP('Données projet'!$B$18,Paramètres!$A$1:$I$89,5,0)</f>
        <v>1.3567387213697657E-14</v>
      </c>
      <c r="GW41" s="13">
        <f t="shared" si="51"/>
        <v>2.5717320947985821E-13</v>
      </c>
      <c r="GX41" s="20">
        <f t="shared" si="28"/>
        <v>4.7153987257460977E-13</v>
      </c>
      <c r="GY41" s="59">
        <f t="shared" si="29"/>
        <v>293.33333333333377</v>
      </c>
      <c r="GZ41" s="59">
        <f ca="1">AVERAGE(OFFSET($GY$3,0,0,'Données projet'!$E$18+1,1))-AVERAGE(OFFSET($H$3,0,0,'Données projet'!$E$18+1,1))</f>
        <v>43.147469606759159</v>
      </c>
      <c r="HA41" s="59">
        <f t="shared" si="52"/>
        <v>147.46995307968473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30.778224581297469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3.444871607726184E-2</v>
      </c>
      <c r="HJ41" s="22">
        <f t="shared" si="30"/>
        <v>30.812673297374729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5.2</v>
      </c>
      <c r="N42" s="13">
        <f>IF('Données projet'!$A$36&gt;35,N41+M42-V41,IF(A42&lt;'Données projet'!$A$36,$K$205^A42,IF(A42='Données projet'!$A$36,'Données projet'!$B$36,N41+M42-V41)))</f>
        <v>100.80000000000001</v>
      </c>
      <c r="O42" s="13">
        <f>N42*VLOOKUP('Données projet'!$B$9,Paramètres!$A$1:$I$89,3,0)*VLOOKUP('Données projet'!$B$9,Paramètres!$A$1:$I$89,5,0)</f>
        <v>91.203840000000014</v>
      </c>
      <c r="P42" s="13">
        <f t="shared" si="33"/>
        <v>24.855337308022524</v>
      </c>
      <c r="Q42" s="20">
        <f t="shared" si="53"/>
        <v>202.13640047813922</v>
      </c>
      <c r="R42" s="59">
        <f t="shared" si="0"/>
        <v>495.46973381147257</v>
      </c>
      <c r="S42" s="59">
        <f ca="1">AVERAGE(OFFSET($R$3,0,0,'Données projet'!$E$9+1,1))-AVERAGE(OFFSET($H$3,0,0,'Données projet'!$E$9+1,1))</f>
        <v>138.8931001150624</v>
      </c>
      <c r="T42" s="59">
        <f t="shared" si="34"/>
        <v>48.964659354096625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8.6999999999999993</v>
      </c>
      <c r="AI42" s="13">
        <f>IF('Données projet'!$A$62&gt;35,AI41+AH42-AQ41,IF(A42&lt;'Données projet'!$A$62,$AF$205^A42,IF(A42='Données projet'!$A$62,'Données projet'!$B$62,AI41+AH42-AQ41)))</f>
        <v>191.29999999999987</v>
      </c>
      <c r="AJ42" s="13">
        <f>AI42*VLOOKUP('Données projet'!$B$10,Paramètres!$A$1:$I$89,3,0)*VLOOKUP('Données projet'!$B$10,Paramètres!$A$1:$I$89,5,0)</f>
        <v>167.11967999999993</v>
      </c>
      <c r="AK42" s="13">
        <f t="shared" si="35"/>
        <v>42.444287553880535</v>
      </c>
      <c r="AL42" s="20">
        <f t="shared" si="4"/>
        <v>364.99057682300844</v>
      </c>
      <c r="AM42" s="59">
        <f t="shared" si="5"/>
        <v>658.32391015634175</v>
      </c>
      <c r="AN42" s="59">
        <f ca="1">AVERAGE(OFFSET($AM$3,0,0,'Données projet'!$E$10+1,1))-AVERAGE(OFFSET($H$3,0,0,'Données projet'!$E$10+1,1))</f>
        <v>191.94797389630673</v>
      </c>
      <c r="AO42" s="59">
        <f t="shared" si="36"/>
        <v>273.52540822767878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10.945821706612357</v>
      </c>
      <c r="AW42" s="21">
        <f>EXP(-LN(2)/2)*AW41+(1-EXP(-LN(2)/2))/(LN(2)/2)*AQ42*AT42*VLOOKUP('Données projet'!$B$10,Paramètres!$A$1:$I$89,3,0)*0.475*44/12</f>
        <v>1.0254401959247716</v>
      </c>
      <c r="AX42" s="21">
        <f t="shared" si="6"/>
        <v>14.125591597097683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11.3</v>
      </c>
      <c r="BD42" s="12">
        <f>IF('Données projet'!$A$88&gt;35,BD41+BC42-BL41,IF(A42&lt;'Données projet'!$A$88,$BA$205^A42,IF(A42='Données projet'!$A$88,'Données projet'!$B$88,BD41+BC42-BL41)))</f>
        <v>222.70000000000005</v>
      </c>
      <c r="BE42" s="13">
        <f>BD42*VLOOKUP('Données projet'!$B$11,Paramètres!$A$1:$I$89,3,0)*VLOOKUP('Données projet'!$B$11,Paramètres!$A$1:$I$89,5,0)</f>
        <v>138.96480000000003</v>
      </c>
      <c r="BF42" s="13">
        <f t="shared" si="37"/>
        <v>36.059753373035342</v>
      </c>
      <c r="BG42" s="20">
        <f t="shared" si="7"/>
        <v>304.83443045803659</v>
      </c>
      <c r="BH42" s="59">
        <f t="shared" si="8"/>
        <v>598.16776379136991</v>
      </c>
      <c r="BI42" s="59">
        <f ca="1">AVERAGE(OFFSET($BH$3,0,0,'Données projet'!$E$11+1,1))-AVERAGE(OFFSET($H$3,0,0,'Données projet'!$E$11+1,1))</f>
        <v>162.91481796710048</v>
      </c>
      <c r="BJ42" s="59">
        <f t="shared" si="38"/>
        <v>182.56192390367823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2.3272578845965488</v>
      </c>
      <c r="BQ42" s="21">
        <f>EXP(-LN(2)/25)*BQ41+(1-EXP(-LN(2)/25))/(LN(2)/25)*Calculateur!BL42*Calculateur!BN42*VLOOKUP('Données projet'!$B$11,Paramètres!$A$1:$I$89,3,0)*0.475*44/12</f>
        <v>11.904542218246494</v>
      </c>
      <c r="BR42" s="21">
        <f>EXP(-LN(2)/2)*BR41+(1-EXP(-LN(2)/2))/(LN(2)/2)*BL42*BO42*VLOOKUP('Données projet'!$B$11,Paramètres!$A$1:$I$89,3,0)*0.475*44/12</f>
        <v>0.79415672620829592</v>
      </c>
      <c r="BS42" s="22">
        <f t="shared" si="9"/>
        <v>15.025956829051339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210.7</v>
      </c>
      <c r="BZ42" s="13">
        <f>BY42*VLOOKUP('Données projet'!$B$12,Paramètres!$A$1:$I$89,3,0)*VLOOKUP('Données projet'!$B$12,Paramètres!$A$1:$I$89,5,0)</f>
        <v>98.607599999999991</v>
      </c>
      <c r="CA42" s="13">
        <f t="shared" si="39"/>
        <v>26.630007227548578</v>
      </c>
      <c r="CB42" s="20">
        <f t="shared" si="10"/>
        <v>218.12216592131372</v>
      </c>
      <c r="CC42" s="59">
        <f t="shared" si="11"/>
        <v>511.45549925464707</v>
      </c>
      <c r="CD42" s="59">
        <f ca="1">AVERAGE(OFFSET($CC$3,0,0,'Données projet'!$E$12+1,1))-AVERAGE(OFFSET($H$3,0,0,'Données projet'!$E$12+1,1))</f>
        <v>123.60520571614535</v>
      </c>
      <c r="CE42" s="59">
        <f t="shared" si="40"/>
        <v>119.00926870519527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0.72570965731727255</v>
      </c>
      <c r="CL42" s="21">
        <f>EXP(-LN(2)/25)*CL41+(1-EXP(-LN(2)/25))/(LN(2)/25)*Calculateur!CG42*Calculateur!CI42*VLOOKUP('Données projet'!$B$12,Paramètres!$A$1:$I$89,3,0)*0.475*44/12</f>
        <v>3.7218807975653703</v>
      </c>
      <c r="CM42" s="21">
        <f>EXP(-LN(2)/2)*CM41+(1-EXP(-LN(2)/2))/(LN(2)/2)*CG42*CJ42*VLOOKUP('Données projet'!$B$12,Paramètres!$A$1:$I$89,3,0)*0.475*44/12</f>
        <v>0.27019038415348784</v>
      </c>
      <c r="CN42" s="22">
        <f t="shared" si="12"/>
        <v>4.7177808390361307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100.80000000000001</v>
      </c>
      <c r="CU42" s="17">
        <f>CT42*VLOOKUP('Données projet'!$B$13,Paramètres!$A$1:$I$89,3,0)*VLOOKUP('Données projet'!$B$13,Paramètres!$A$1:$I$89,5,0)</f>
        <v>105.35616000000003</v>
      </c>
      <c r="CV42" s="13">
        <f t="shared" si="41"/>
        <v>28.234128165723941</v>
      </c>
      <c r="CW42" s="20">
        <f t="shared" si="13"/>
        <v>232.66975188863589</v>
      </c>
      <c r="CX42" s="59">
        <f t="shared" si="14"/>
        <v>526.00308522196917</v>
      </c>
      <c r="CY42" s="59">
        <f ca="1">AVERAGE(OFFSET($CX$3,0,0,'Données projet'!$E$13+1,1))-AVERAGE(OFFSET($H$3,0,0,'Données projet'!$E$13+1,1))</f>
        <v>177.94336949486529</v>
      </c>
      <c r="CZ42" s="59">
        <f t="shared" si="42"/>
        <v>65.559373432574603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</v>
      </c>
      <c r="DO42" s="12">
        <f>IF('Données projet'!$A$166&gt;35,DO41+DN42-DW41,IF(A42&lt;'Données projet'!$A$166,$DL$205^A42,IF(A42='Données projet'!$A$166,'Données projet'!$B$166,DO41+DN42-DW41)))</f>
        <v>221.99999999999997</v>
      </c>
      <c r="DP42" s="17">
        <f>DO42*VLOOKUP('Données projet'!$B$14,Paramètres!$A$1:$I$89,3,0)*VLOOKUP('Données projet'!$B$14,Paramètres!$A$1:$I$89,5,0)</f>
        <v>132.756</v>
      </c>
      <c r="DQ42" s="13">
        <f t="shared" si="43"/>
        <v>34.632410397339967</v>
      </c>
      <c r="DR42" s="20">
        <f t="shared" si="16"/>
        <v>291.53481477536712</v>
      </c>
      <c r="DS42" s="59">
        <f t="shared" si="17"/>
        <v>584.86814810870044</v>
      </c>
      <c r="DT42" s="59">
        <f ca="1">AVERAGE(OFFSET($DS$3,0,0,'Données projet'!$E$14+1,1))-AVERAGE(OFFSET($H$3,0,0,'Données projet'!$E$14+1,1))</f>
        <v>165.39579887388538</v>
      </c>
      <c r="DU42" s="59">
        <f t="shared" si="44"/>
        <v>155.89639262545802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5.679521640662708</v>
      </c>
      <c r="EC42" s="21">
        <f>EXP(-LN(2)/2)*EC41+(1-EXP(-LN(2)/2))/(LN(2)/2)*DW42*DZ42*VLOOKUP('Données projet'!$B$14,Paramètres!$A$1:$I$89,3,0)*0.475*44/12</f>
        <v>0.61341671197479064</v>
      </c>
      <c r="ED42" s="22">
        <f t="shared" si="18"/>
        <v>6.2929383526374991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20.2</v>
      </c>
      <c r="EJ42" s="12">
        <f>IF('Données projet'!$A$192&gt;35,EJ41+EI42-ER41,IF(A42&lt;'Données projet'!$A$192,$EG$205^A42,IF(A42='Données projet'!$A$192,'Données projet'!$B$192,EJ41+EI42-ER41)))</f>
        <v>375.7999999999999</v>
      </c>
      <c r="EK42" s="17">
        <f>EJ42*VLOOKUP('Données projet'!$B$15,Paramètres!$A$1:$I$89,3,0)*VLOOKUP('Données projet'!$B$15,Paramètres!$A$1:$I$89,5,0)</f>
        <v>180.75979999999996</v>
      </c>
      <c r="EL42" s="13">
        <f t="shared" si="45"/>
        <v>45.491186204967178</v>
      </c>
      <c r="EM42" s="20">
        <f t="shared" si="19"/>
        <v>394.05380097365111</v>
      </c>
      <c r="EN42" s="59">
        <f t="shared" si="20"/>
        <v>687.38713430698442</v>
      </c>
      <c r="EO42" s="59">
        <f ca="1">AVERAGE(OFFSET($EN$3,0,0,'Données projet'!$E$15+1,1))-AVERAGE(OFFSET($H$3,0,0,'Données projet'!$E$15+1,1))</f>
        <v>252.30925789500111</v>
      </c>
      <c r="EP42" s="59">
        <f t="shared" si="46"/>
        <v>213.96033794804805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3.8761657549623352</v>
      </c>
      <c r="EW42" s="21">
        <f>EXP(-LN(2)/25)*EW41+(1-EXP(-LN(2)/25))/(LN(2)/25)*Calculateur!ER42*Calculateur!ET42*VLOOKUP('Données projet'!$B$15,Paramètres!$A$1:$I$89,3,0)*0.475*44/12</f>
        <v>7.190447051324691</v>
      </c>
      <c r="EX42" s="21">
        <f>EXP(-LN(2)/2)*EX41+(1-EXP(-LN(2)/2))/(LN(2)/2)*ER42*EU42*VLOOKUP('Données projet'!$B$15,Paramètres!$A$1:$I$89,3,0)*0.475*44/12</f>
        <v>0.63540344035734431</v>
      </c>
      <c r="EY42" s="22">
        <f t="shared" si="21"/>
        <v>11.702016246644369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20.2</v>
      </c>
      <c r="FE42" s="12">
        <f>IF('Données projet'!$A$218&gt;35,FE41+FD42-FM41,IF(A42&lt;'Données projet'!$A$218,$FB$205^A42,IF(A42='Données projet'!$A$218,'Données projet'!$B$218,FE41+FD42-FM41)))</f>
        <v>375.7999999999999</v>
      </c>
      <c r="FF42" s="17">
        <f>FE42*VLOOKUP('Données projet'!$B$16,Paramètres!$A$1:$I$89,3,0)*VLOOKUP('Données projet'!$B$16,Paramètres!$A$1:$I$89,5,0)</f>
        <v>180.75979999999996</v>
      </c>
      <c r="FG42" s="13">
        <f t="shared" si="47"/>
        <v>45.491186204967178</v>
      </c>
      <c r="FH42" s="20">
        <f t="shared" si="22"/>
        <v>394.05380097365111</v>
      </c>
      <c r="FI42" s="59">
        <f t="shared" si="23"/>
        <v>687.38713430698442</v>
      </c>
      <c r="FJ42" s="59">
        <f ca="1">AVERAGE(OFFSET($FI$3,0,0,'Données projet'!$E$16+1,1))-AVERAGE(OFFSET($H$3,0,0,'Données projet'!$E$16+1,1))</f>
        <v>252.30925789500111</v>
      </c>
      <c r="FK42" s="59">
        <f t="shared" si="48"/>
        <v>213.96033794804805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3.8761657549623352</v>
      </c>
      <c r="FR42" s="21">
        <f>EXP(-LN(2)/25)*FR41+(1-EXP(-LN(2)/25))/(LN(2)/25)*Calculateur!FM42*Calculateur!FO42*VLOOKUP('Données projet'!$B$16,Paramètres!$A$1:$I$89,3,0)*0.475*44/12</f>
        <v>7.190447051324691</v>
      </c>
      <c r="FS42" s="21">
        <f>EXP(-LN(2)/2)*FS41+(1-EXP(-LN(2)/2))/(LN(2)/2)*FM42*FP42*VLOOKUP('Données projet'!$B$16,Paramètres!$A$1:$I$89,3,0)*0.475*44/12</f>
        <v>0.63540344035734431</v>
      </c>
      <c r="FT42" s="22">
        <f t="shared" si="24"/>
        <v>11.702016246644369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10</v>
      </c>
      <c r="FZ42" s="12">
        <f>IF('Données projet'!$A$244&gt;35,FZ41+FY42-GH41,IF(A42&lt;'Données projet'!$A$244,$FW$205^A42,IF(A42='Données projet'!$A$244,'Données projet'!$B$244,FZ41+FY42-GH41)))</f>
        <v>204.99999999999994</v>
      </c>
      <c r="GA42" s="17">
        <f>FZ42*VLOOKUP('Données projet'!$B$17,Paramètres!$A$1:$I$89,3,0)*VLOOKUP('Données projet'!$B$17,Paramètres!$A$1:$I$89,5,0)</f>
        <v>122.58999999999997</v>
      </c>
      <c r="GB42" s="13">
        <f t="shared" si="49"/>
        <v>32.278321478706822</v>
      </c>
      <c r="GC42" s="20">
        <f t="shared" si="25"/>
        <v>269.728993242081</v>
      </c>
      <c r="GD42" s="59">
        <f t="shared" si="26"/>
        <v>563.06232657541432</v>
      </c>
      <c r="GE42" s="59">
        <f ca="1">AVERAGE(OFFSET($GD$3,0,0,'Données projet'!$E$17+1,1))-AVERAGE(OFFSET($H$3,0,0,'Données projet'!$E$17+1,1))</f>
        <v>117.54638373164624</v>
      </c>
      <c r="GF42" s="59">
        <f t="shared" si="50"/>
        <v>133.0740262536583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1.8511262851969232</v>
      </c>
      <c r="GM42" s="21">
        <f>EXP(-LN(2)/25)*GM41+(1-EXP(-LN(2)/25))/(LN(2)/25)*Calculateur!GH42*Calculateur!GJ42*VLOOKUP('Données projet'!$B$17,Paramètres!$A$1:$I$89,3,0)*0.475*44/12</f>
        <v>6.7441285229795085</v>
      </c>
      <c r="GN42" s="21">
        <f>EXP(-LN(2)/2)*GN41+(1-EXP(-LN(2)/2))/(LN(2)/2)*GH42*GK42*VLOOKUP('Données projet'!$B$17,Paramètres!$A$1:$I$89,3,0)*0.475*44/12</f>
        <v>0.1787885294658231</v>
      </c>
      <c r="GO42" s="21">
        <f t="shared" si="27"/>
        <v>8.7740433376422544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2.8421709430404007E-14</v>
      </c>
      <c r="GV42" s="17">
        <f>GU42*VLOOKUP('Données projet'!$B$18,Paramètres!$A$1:$I$89,3,0)*VLOOKUP('Données projet'!$B$18,Paramètres!$A$1:$I$89,5,0)</f>
        <v>1.3567387213697657E-14</v>
      </c>
      <c r="GW42" s="13">
        <f t="shared" si="51"/>
        <v>2.5717320947985821E-13</v>
      </c>
      <c r="GX42" s="20">
        <f t="shared" si="28"/>
        <v>4.7153987257460977E-13</v>
      </c>
      <c r="GY42" s="59">
        <f t="shared" si="29"/>
        <v>293.33333333333377</v>
      </c>
      <c r="GZ42" s="59">
        <f ca="1">AVERAGE(OFFSET($GY$3,0,0,'Données projet'!$E$18+1,1))-AVERAGE(OFFSET($H$3,0,0,'Données projet'!$E$18+1,1))</f>
        <v>43.147469606759159</v>
      </c>
      <c r="HA42" s="59">
        <f t="shared" si="52"/>
        <v>147.46995307968473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30.174682370121552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2.435892074140189E-2</v>
      </c>
      <c r="HJ42" s="22">
        <f t="shared" si="30"/>
        <v>30.199041290862954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106</v>
      </c>
      <c r="L43" s="12">
        <f>VLOOKUP(A43,'Données projet'!$A$35:$I$55,9,0)</f>
        <v>5.2</v>
      </c>
      <c r="M43" s="12">
        <f t="array" ref="M43">INDEX(L:L,MIN(IF(ISNUMBER(L43:L239),ROW(L43:L239),"")))</f>
        <v>5.2</v>
      </c>
      <c r="N43" s="13">
        <f>IF('Données projet'!$A$36&gt;35,N42+M43-V42,IF(A43&lt;'Données projet'!$A$36,$K$205^A43,IF(A43='Données projet'!$A$36,'Données projet'!$B$36,N42+M43-V42)))</f>
        <v>106.00000000000001</v>
      </c>
      <c r="O43" s="13">
        <f>N43*VLOOKUP('Données projet'!$B$9,Paramètres!$A$1:$I$89,3,0)*VLOOKUP('Données projet'!$B$9,Paramètres!$A$1:$I$89,5,0)</f>
        <v>95.908800000000014</v>
      </c>
      <c r="P43" s="13">
        <f t="shared" si="33"/>
        <v>25.984968676228355</v>
      </c>
      <c r="Q43" s="20">
        <f t="shared" si="53"/>
        <v>212.29831377776441</v>
      </c>
      <c r="R43" s="59">
        <f t="shared" si="0"/>
        <v>505.63164711109772</v>
      </c>
      <c r="S43" s="59">
        <f ca="1">AVERAGE(OFFSET($R$3,0,0,'Données projet'!$E$9+1,1))-AVERAGE(OFFSET($H$3,0,0,'Données projet'!$E$9+1,1))</f>
        <v>138.8931001150624</v>
      </c>
      <c r="T43" s="59">
        <f t="shared" si="34"/>
        <v>48.964659354096625</v>
      </c>
      <c r="U43" s="15">
        <f>IF(ISNA(VLOOKUP(A43,'Données projet'!$A$35:$I$55,3,0)),0,VLOOKUP(A43,'Données projet'!$A$35:$I$55,3,0))</f>
        <v>1</v>
      </c>
      <c r="V43" s="15">
        <f>IF(ISNA(VLOOKUP(A43,'Données projet'!$A$35:$I$55,4,0)),0,VLOOKUP(A43,'Données projet'!$A$35:$I$55,4,0))</f>
        <v>27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200</v>
      </c>
      <c r="AG43" s="12">
        <f>VLOOKUP(A43,'Données projet'!$A$61:$I$81,9,0)</f>
        <v>8.6999999999999993</v>
      </c>
      <c r="AH43" s="12">
        <f t="array" ref="AH43">INDEX(AG:AG,MIN(IF(ISNUMBER(AG43:AG239),ROW(AG43:AG239),"")))</f>
        <v>8.6999999999999993</v>
      </c>
      <c r="AI43" s="13">
        <f>IF('Données projet'!$A$62&gt;35,AI42+AH43-AQ42,IF(A43&lt;'Données projet'!$A$62,$AF$205^A43,IF(A43='Données projet'!$A$62,'Données projet'!$B$62,AI42+AH43-AQ42)))</f>
        <v>199.99999999999986</v>
      </c>
      <c r="AJ43" s="13">
        <f>AI43*VLOOKUP('Données projet'!$B$10,Paramètres!$A$1:$I$89,3,0)*VLOOKUP('Données projet'!$B$10,Paramètres!$A$1:$I$89,5,0)</f>
        <v>174.71999999999989</v>
      </c>
      <c r="AK43" s="13">
        <f t="shared" si="35"/>
        <v>44.145455754865203</v>
      </c>
      <c r="AL43" s="20">
        <f t="shared" si="4"/>
        <v>381.19066877305664</v>
      </c>
      <c r="AM43" s="59">
        <f t="shared" si="5"/>
        <v>674.52400210638996</v>
      </c>
      <c r="AN43" s="59">
        <f ca="1">AVERAGE(OFFSET($AM$3,0,0,'Données projet'!$E$10+1,1))-AVERAGE(OFFSET($H$3,0,0,'Données projet'!$E$10+1,1))</f>
        <v>191.94797389630673</v>
      </c>
      <c r="AO43" s="59">
        <f t="shared" si="36"/>
        <v>273.52540822767878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10.646507636429295</v>
      </c>
      <c r="AW43" s="21">
        <f>EXP(-LN(2)/2)*AW42+(1-EXP(-LN(2)/2))/(LN(2)/2)*AQ43*AT43*VLOOKUP('Données projet'!$B$10,Paramètres!$A$1:$I$89,3,0)*0.475*44/12</f>
        <v>0.72509571623966795</v>
      </c>
      <c r="AX43" s="21">
        <f t="shared" si="6"/>
        <v>13.483687955930552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234</v>
      </c>
      <c r="BB43" s="12">
        <f>VLOOKUP(A43,'Données projet'!$A$87:$I$107,9,0)</f>
        <v>11.3</v>
      </c>
      <c r="BC43" s="12">
        <f t="array" ref="BC43">INDEX(BB:BB,MIN(IF(ISNUMBER(BB43:BB239),ROW(BB43:BB239),"")))</f>
        <v>11.3</v>
      </c>
      <c r="BD43" s="12">
        <f>IF('Données projet'!$A$88&gt;35,BD42+BC43-BL42,IF(A43&lt;'Données projet'!$A$88,$BA$205^A43,IF(A43='Données projet'!$A$88,'Données projet'!$B$88,BD42+BC43-BL42)))</f>
        <v>234.00000000000006</v>
      </c>
      <c r="BE43" s="13">
        <f>BD43*VLOOKUP('Données projet'!$B$11,Paramètres!$A$1:$I$89,3,0)*VLOOKUP('Données projet'!$B$11,Paramètres!$A$1:$I$89,5,0)</f>
        <v>146.01600000000002</v>
      </c>
      <c r="BF43" s="13">
        <f t="shared" si="37"/>
        <v>37.671793767891103</v>
      </c>
      <c r="BG43" s="20">
        <f t="shared" si="7"/>
        <v>319.92290747907703</v>
      </c>
      <c r="BH43" s="59">
        <f t="shared" si="8"/>
        <v>613.2562408124104</v>
      </c>
      <c r="BI43" s="59">
        <f ca="1">AVERAGE(OFFSET($BH$3,0,0,'Données projet'!$E$11+1,1))-AVERAGE(OFFSET($H$3,0,0,'Données projet'!$E$11+1,1))</f>
        <v>162.91481796710048</v>
      </c>
      <c r="BJ43" s="59">
        <f t="shared" si="38"/>
        <v>182.56192390367823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2.2816217769667575</v>
      </c>
      <c r="BQ43" s="21">
        <f>EXP(-LN(2)/25)*BQ42+(1-EXP(-LN(2)/25))/(LN(2)/25)*Calculateur!BL43*Calculateur!BN43*VLOOKUP('Données projet'!$B$11,Paramètres!$A$1:$I$89,3,0)*0.475*44/12</f>
        <v>11.579011885255877</v>
      </c>
      <c r="BR43" s="21">
        <f>EXP(-LN(2)/2)*BR42+(1-EXP(-LN(2)/2))/(LN(2)/2)*BL43*BO43*VLOOKUP('Données projet'!$B$11,Paramètres!$A$1:$I$89,3,0)*0.475*44/12</f>
        <v>0.56155360642679442</v>
      </c>
      <c r="BS43" s="22">
        <f t="shared" si="9"/>
        <v>14.422187268649429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217.7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217.7</v>
      </c>
      <c r="BZ43" s="13">
        <f>BY43*VLOOKUP('Données projet'!$B$12,Paramètres!$A$1:$I$89,3,0)*VLOOKUP('Données projet'!$B$12,Paramètres!$A$1:$I$89,5,0)</f>
        <v>101.8836</v>
      </c>
      <c r="CA43" s="13">
        <f t="shared" si="39"/>
        <v>27.410250752947974</v>
      </c>
      <c r="CB43" s="20">
        <f t="shared" si="10"/>
        <v>225.18679006138439</v>
      </c>
      <c r="CC43" s="59">
        <f t="shared" si="11"/>
        <v>518.52012339471776</v>
      </c>
      <c r="CD43" s="59">
        <f ca="1">AVERAGE(OFFSET($CC$3,0,0,'Données projet'!$E$12+1,1))-AVERAGE(OFFSET($H$3,0,0,'Données projet'!$E$12+1,1))</f>
        <v>123.60520571614535</v>
      </c>
      <c r="CE43" s="59">
        <f t="shared" si="40"/>
        <v>119.00926870519527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46.3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0.71147893357646486</v>
      </c>
      <c r="CL43" s="21">
        <f>EXP(-LN(2)/25)*CL42+(1-EXP(-LN(2)/25))/(LN(2)/25)*Calculateur!CG43*Calculateur!CI43*VLOOKUP('Données projet'!$B$12,Paramètres!$A$1:$I$89,3,0)*0.475*44/12</f>
        <v>3.6201057714307407</v>
      </c>
      <c r="CM43" s="21">
        <f>EXP(-LN(2)/2)*CM42+(1-EXP(-LN(2)/2))/(LN(2)/2)*CG43*CJ43*VLOOKUP('Données projet'!$B$12,Paramètres!$A$1:$I$89,3,0)*0.475*44/12</f>
        <v>0.19105345284632955</v>
      </c>
      <c r="CN43" s="22">
        <f t="shared" si="12"/>
        <v>4.5226381578535353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106.00000000000001</v>
      </c>
      <c r="CU43" s="17">
        <f>CT43*VLOOKUP('Données projet'!$B$13,Paramètres!$A$1:$I$89,3,0)*VLOOKUP('Données projet'!$B$13,Paramètres!$A$1:$I$89,5,0)</f>
        <v>110.79120000000002</v>
      </c>
      <c r="CV43" s="13">
        <f t="shared" si="41"/>
        <v>29.517319636219515</v>
      </c>
      <c r="CW43" s="20">
        <f t="shared" si="13"/>
        <v>244.37067169974901</v>
      </c>
      <c r="CX43" s="59">
        <f t="shared" si="14"/>
        <v>537.70400503308235</v>
      </c>
      <c r="CY43" s="59">
        <f ca="1">AVERAGE(OFFSET($CX$3,0,0,'Données projet'!$E$13+1,1))-AVERAGE(OFFSET($H$3,0,0,'Données projet'!$E$13+1,1))</f>
        <v>177.94336949486529</v>
      </c>
      <c r="CZ43" s="59">
        <f t="shared" si="42"/>
        <v>65.559373432574603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233</v>
      </c>
      <c r="DM43" s="12">
        <f>VLOOKUP(A43,'Données projet'!$A$165:$I$185,9,0)</f>
        <v>11</v>
      </c>
      <c r="DN43" s="12">
        <f t="array" ref="DN43">INDEX(DM:DM,MIN(IF(ISNUMBER(DM43:DM239),ROW(DM43:DM239),"")))</f>
        <v>11</v>
      </c>
      <c r="DO43" s="12">
        <f>IF('Données projet'!$A$166&gt;35,DO42+DN43-DW42,IF(A43&lt;'Données projet'!$A$166,$DL$205^A43,IF(A43='Données projet'!$A$166,'Données projet'!$B$166,DO42+DN43-DW42)))</f>
        <v>232.99999999999997</v>
      </c>
      <c r="DP43" s="17">
        <f>DO43*VLOOKUP('Données projet'!$B$14,Paramètres!$A$1:$I$89,3,0)*VLOOKUP('Données projet'!$B$14,Paramètres!$A$1:$I$89,5,0)</f>
        <v>139.334</v>
      </c>
      <c r="DQ43" s="13">
        <f t="shared" si="43"/>
        <v>36.144391930570897</v>
      </c>
      <c r="DR43" s="20">
        <f t="shared" si="16"/>
        <v>305.62486594574432</v>
      </c>
      <c r="DS43" s="59">
        <f t="shared" si="17"/>
        <v>598.95819927907769</v>
      </c>
      <c r="DT43" s="59">
        <f ca="1">AVERAGE(OFFSET($DS$3,0,0,'Données projet'!$E$14+1,1))-AVERAGE(OFFSET($H$3,0,0,'Données projet'!$E$14+1,1))</f>
        <v>165.39579887388538</v>
      </c>
      <c r="DU43" s="59">
        <f t="shared" si="44"/>
        <v>155.89639262545802</v>
      </c>
      <c r="DV43" s="15">
        <f>IF(ISNA(VLOOKUP(A43,'Données projet'!$A$165:$I$185,3,0)),0,VLOOKUP(A43,'Données projet'!$A$165:$I$185,3,0))</f>
        <v>2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5.5242148227257237</v>
      </c>
      <c r="EC43" s="21">
        <f>EXP(-LN(2)/2)*EC42+(1-EXP(-LN(2)/2))/(LN(2)/2)*DW43*DZ43*VLOOKUP('Données projet'!$B$14,Paramètres!$A$1:$I$89,3,0)*0.475*44/12</f>
        <v>0.43375111673052974</v>
      </c>
      <c r="ED43" s="22">
        <f t="shared" si="18"/>
        <v>5.9579659394562539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396</v>
      </c>
      <c r="EH43" s="12">
        <f>VLOOKUP(A43,'Données projet'!$A$191:$I$211,9,0)</f>
        <v>20.2</v>
      </c>
      <c r="EI43" s="12">
        <f t="array" ref="EI43">INDEX(EH:EH,MIN(IF(ISNUMBER(EH43:EH239),ROW(EH43:EH239),"")))</f>
        <v>20.2</v>
      </c>
      <c r="EJ43" s="12">
        <f>IF('Données projet'!$A$192&gt;35,EJ42+EI43-ER42,IF(A43&lt;'Données projet'!$A$192,$EG$205^A43,IF(A43='Données projet'!$A$192,'Données projet'!$B$192,EJ42+EI43-ER42)))</f>
        <v>395.99999999999989</v>
      </c>
      <c r="EK43" s="17">
        <f>EJ43*VLOOKUP('Données projet'!$B$15,Paramètres!$A$1:$I$89,3,0)*VLOOKUP('Données projet'!$B$15,Paramètres!$A$1:$I$89,5,0)</f>
        <v>190.47599999999994</v>
      </c>
      <c r="EL43" s="13">
        <f t="shared" si="45"/>
        <v>47.645174362968312</v>
      </c>
      <c r="EM43" s="20">
        <f t="shared" si="19"/>
        <v>414.72771201550307</v>
      </c>
      <c r="EN43" s="59">
        <f t="shared" si="20"/>
        <v>708.06104534883639</v>
      </c>
      <c r="EO43" s="59">
        <f ca="1">AVERAGE(OFFSET($EN$3,0,0,'Données projet'!$E$15+1,1))-AVERAGE(OFFSET($H$3,0,0,'Données projet'!$E$15+1,1))</f>
        <v>252.30925789500111</v>
      </c>
      <c r="EP43" s="59">
        <f t="shared" si="46"/>
        <v>213.96033794804805</v>
      </c>
      <c r="EQ43" s="15">
        <f>IF(ISNA(VLOOKUP(A43,'Données projet'!$A$191:$I$211,3,0)),0,VLOOKUP(A43,'Données projet'!$A$191:$I$211,3,0))</f>
        <v>2</v>
      </c>
      <c r="ER43" s="15">
        <f>IF(ISNA(VLOOKUP(A43,'Données projet'!$A$191:$I$211,4,0)),0,VLOOKUP(A43,'Données projet'!$A$191:$I$211,4,0))</f>
        <v>98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3.8001565087351863</v>
      </c>
      <c r="EW43" s="21">
        <f>EXP(-LN(2)/25)*EW42+(1-EXP(-LN(2)/25))/(LN(2)/25)*Calculateur!ER43*Calculateur!ET43*VLOOKUP('Données projet'!$B$15,Paramètres!$A$1:$I$89,3,0)*0.475*44/12</f>
        <v>6.9938238985770411</v>
      </c>
      <c r="EX43" s="21">
        <f>EXP(-LN(2)/2)*EX42+(1-EXP(-LN(2)/2))/(LN(2)/2)*ER43*EU43*VLOOKUP('Données projet'!$B$15,Paramètres!$A$1:$I$89,3,0)*0.475*44/12</f>
        <v>0.44929808146594019</v>
      </c>
      <c r="EY43" s="22">
        <f t="shared" si="21"/>
        <v>11.243278488778168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396</v>
      </c>
      <c r="FC43" s="12">
        <f>VLOOKUP(A43,'Données projet'!$A$217:$I$237,9,0)</f>
        <v>20.2</v>
      </c>
      <c r="FD43" s="12">
        <f t="array" ref="FD43">INDEX(FC:FC,MIN(IF(ISNUMBER(FC43:FC239),ROW(FC43:FC239),"")))</f>
        <v>20.2</v>
      </c>
      <c r="FE43" s="12">
        <f>IF('Données projet'!$A$218&gt;35,FE42+FD43-FM42,IF(A43&lt;'Données projet'!$A$218,$FB$205^A43,IF(A43='Données projet'!$A$218,'Données projet'!$B$218,FE42+FD43-FM42)))</f>
        <v>395.99999999999989</v>
      </c>
      <c r="FF43" s="17">
        <f>FE43*VLOOKUP('Données projet'!$B$16,Paramètres!$A$1:$I$89,3,0)*VLOOKUP('Données projet'!$B$16,Paramètres!$A$1:$I$89,5,0)</f>
        <v>190.47599999999994</v>
      </c>
      <c r="FG43" s="13">
        <f t="shared" si="47"/>
        <v>47.645174362968312</v>
      </c>
      <c r="FH43" s="20">
        <f t="shared" si="22"/>
        <v>414.72771201550307</v>
      </c>
      <c r="FI43" s="59">
        <f t="shared" si="23"/>
        <v>708.06104534883639</v>
      </c>
      <c r="FJ43" s="59">
        <f ca="1">AVERAGE(OFFSET($FI$3,0,0,'Données projet'!$E$16+1,1))-AVERAGE(OFFSET($H$3,0,0,'Données projet'!$E$16+1,1))</f>
        <v>252.30925789500111</v>
      </c>
      <c r="FK43" s="59">
        <f t="shared" si="48"/>
        <v>213.96033794804805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98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3.8001565087351863</v>
      </c>
      <c r="FR43" s="21">
        <f>EXP(-LN(2)/25)*FR42+(1-EXP(-LN(2)/25))/(LN(2)/25)*Calculateur!FM43*Calculateur!FO43*VLOOKUP('Données projet'!$B$16,Paramètres!$A$1:$I$89,3,0)*0.475*44/12</f>
        <v>6.9938238985770411</v>
      </c>
      <c r="FS43" s="21">
        <f>EXP(-LN(2)/2)*FS42+(1-EXP(-LN(2)/2))/(LN(2)/2)*FM43*FP43*VLOOKUP('Données projet'!$B$16,Paramètres!$A$1:$I$89,3,0)*0.475*44/12</f>
        <v>0.44929808146594019</v>
      </c>
      <c r="FT43" s="22">
        <f t="shared" si="24"/>
        <v>11.243278488778168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215</v>
      </c>
      <c r="FX43" s="12">
        <f>VLOOKUP(A43,'Données projet'!$A$243:$I$263,9,0)</f>
        <v>10</v>
      </c>
      <c r="FY43" s="12">
        <f t="array" ref="FY43">INDEX(FX:FX,MIN(IF(ISNUMBER(FX43:FX239),ROW(FX43:FX239),"")))</f>
        <v>10</v>
      </c>
      <c r="FZ43" s="12">
        <f>IF('Données projet'!$A$244&gt;35,FZ42+FY43-GH42,IF(A43&lt;'Données projet'!$A$244,$FW$205^A43,IF(A43='Données projet'!$A$244,'Données projet'!$B$244,FZ42+FY43-GH42)))</f>
        <v>214.99999999999994</v>
      </c>
      <c r="GA43" s="17">
        <f>FZ43*VLOOKUP('Données projet'!$B$17,Paramètres!$A$1:$I$89,3,0)*VLOOKUP('Données projet'!$B$17,Paramètres!$A$1:$I$89,5,0)</f>
        <v>128.56999999999996</v>
      </c>
      <c r="GB43" s="13">
        <f t="shared" si="49"/>
        <v>33.665715905233249</v>
      </c>
      <c r="GC43" s="20">
        <f t="shared" si="25"/>
        <v>282.5605385349478</v>
      </c>
      <c r="GD43" s="59">
        <f t="shared" si="26"/>
        <v>575.89387186828117</v>
      </c>
      <c r="GE43" s="59">
        <f ca="1">AVERAGE(OFFSET($GD$3,0,0,'Données projet'!$E$17+1,1))-AVERAGE(OFFSET($H$3,0,0,'Données projet'!$E$17+1,1))</f>
        <v>117.54638373164624</v>
      </c>
      <c r="GF43" s="59">
        <f t="shared" si="50"/>
        <v>133.0740262536583</v>
      </c>
      <c r="GG43" s="15">
        <f>IF(ISNA(VLOOKUP(A43,'Données projet'!$A$243:$I$263,3,0)),0,VLOOKUP(A43,'Données projet'!$A$243:$I$263,3,0))</f>
        <v>6</v>
      </c>
      <c r="GH43" s="15">
        <f>IF(ISNA(VLOOKUP(A43,'Données projet'!$A$243:$I$263,4,0)),0,VLOOKUP(A43,'Données projet'!$A$243:$I$263,4,0))</f>
        <v>31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1.8148268278197586</v>
      </c>
      <c r="GM43" s="21">
        <f>EXP(-LN(2)/25)*GM42+(1-EXP(-LN(2)/25))/(LN(2)/25)*Calculateur!GH43*Calculateur!GJ43*VLOOKUP('Données projet'!$B$17,Paramètres!$A$1:$I$89,3,0)*0.475*44/12</f>
        <v>6.5597099738603291</v>
      </c>
      <c r="GN43" s="21">
        <f>EXP(-LN(2)/2)*GN42+(1-EXP(-LN(2)/2))/(LN(2)/2)*GH43*GK43*VLOOKUP('Données projet'!$B$17,Paramètres!$A$1:$I$89,3,0)*0.475*44/12</f>
        <v>0.12642258158365438</v>
      </c>
      <c r="GO43" s="21">
        <f t="shared" si="27"/>
        <v>8.5009593832637407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2.8421709430404007E-14</v>
      </c>
      <c r="GV43" s="17">
        <f>GU43*VLOOKUP('Données projet'!$B$18,Paramètres!$A$1:$I$89,3,0)*VLOOKUP('Données projet'!$B$18,Paramètres!$A$1:$I$89,5,0)</f>
        <v>1.3567387213697657E-14</v>
      </c>
      <c r="GW43" s="13">
        <f t="shared" si="51"/>
        <v>2.5717320947985821E-13</v>
      </c>
      <c r="GX43" s="20">
        <f t="shared" si="28"/>
        <v>4.7153987257460977E-13</v>
      </c>
      <c r="GY43" s="59">
        <f t="shared" si="29"/>
        <v>293.33333333333377</v>
      </c>
      <c r="GZ43" s="59">
        <f ca="1">AVERAGE(OFFSET($GY$3,0,0,'Données projet'!$E$18+1,1))-AVERAGE(OFFSET($H$3,0,0,'Données projet'!$E$18+1,1))</f>
        <v>43.147469606759159</v>
      </c>
      <c r="HA43" s="59">
        <f t="shared" si="52"/>
        <v>147.46995307968473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29.582975253582397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1.722435803863092E-2</v>
      </c>
      <c r="HJ43" s="22">
        <f t="shared" si="30"/>
        <v>29.600199611621029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5.6</v>
      </c>
      <c r="N44" s="13">
        <f>IF('Données projet'!$A$36&gt;35,N43+M44-V43,IF(A44&lt;'Données projet'!$A$36,$K$205^A44,IF(A44='Données projet'!$A$36,'Données projet'!$B$36,N43+M44-V43)))</f>
        <v>84.600000000000009</v>
      </c>
      <c r="O44" s="13">
        <f>N44*VLOOKUP('Données projet'!$B$9,Paramètres!$A$1:$I$89,3,0)*VLOOKUP('Données projet'!$B$9,Paramètres!$A$1:$I$89,5,0)</f>
        <v>76.546080000000003</v>
      </c>
      <c r="P44" s="13">
        <f t="shared" si="33"/>
        <v>21.290525837973497</v>
      </c>
      <c r="Q44" s="20">
        <f t="shared" si="53"/>
        <v>170.39875516780384</v>
      </c>
      <c r="R44" s="59">
        <f t="shared" si="0"/>
        <v>463.73208850113713</v>
      </c>
      <c r="S44" s="59">
        <f ca="1">AVERAGE(OFFSET($R$3,0,0,'Données projet'!$E$9+1,1))-AVERAGE(OFFSET($H$3,0,0,'Données projet'!$E$9+1,1))</f>
        <v>138.8931001150624</v>
      </c>
      <c r="T44" s="59">
        <f t="shared" si="34"/>
        <v>48.964659354096625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7.2</v>
      </c>
      <c r="AI44" s="13">
        <f>IF('Données projet'!$A$62&gt;35,AI43+AH44-AQ43,IF(A44&lt;'Données projet'!$A$62,$AF$205^A44,IF(A44='Données projet'!$A$62,'Données projet'!$B$62,AI43+AH44-AQ43)))</f>
        <v>149.19999999999985</v>
      </c>
      <c r="AJ44" s="13">
        <f>AI44*VLOOKUP('Données projet'!$B$10,Paramètres!$A$1:$I$89,3,0)*VLOOKUP('Données projet'!$B$10,Paramètres!$A$1:$I$89,5,0)</f>
        <v>130.34111999999988</v>
      </c>
      <c r="AK44" s="13">
        <f t="shared" si="35"/>
        <v>34.075170122989881</v>
      </c>
      <c r="AL44" s="20">
        <f t="shared" si="4"/>
        <v>286.35837196420709</v>
      </c>
      <c r="AM44" s="59">
        <f t="shared" si="5"/>
        <v>579.69170529754047</v>
      </c>
      <c r="AN44" s="59">
        <f ca="1">AVERAGE(OFFSET($AM$3,0,0,'Données projet'!$E$10+1,1))-AVERAGE(OFFSET($H$3,0,0,'Données projet'!$E$10+1,1))</f>
        <v>191.94797389630673</v>
      </c>
      <c r="AO44" s="59">
        <f t="shared" si="36"/>
        <v>273.52540822767878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10.355378325235632</v>
      </c>
      <c r="AW44" s="21">
        <f>EXP(-LN(2)/2)*AW43+(1-EXP(-LN(2)/2))/(LN(2)/2)*AQ44*AT44*VLOOKUP('Données projet'!$B$10,Paramètres!$A$1:$I$89,3,0)*0.475*44/12</f>
        <v>0.51272009796238582</v>
      </c>
      <c r="AX44" s="21">
        <f t="shared" si="6"/>
        <v>12.938766335634053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9.5</v>
      </c>
      <c r="BD44" s="12">
        <f>IF('Données projet'!$A$88&gt;35,BD43+BC44-BL43,IF(A44&lt;'Données projet'!$A$88,$BA$205^A44,IF(A44='Données projet'!$A$88,'Données projet'!$B$88,BD43+BC44-BL43)))</f>
        <v>187.50000000000006</v>
      </c>
      <c r="BE44" s="13">
        <f>BD44*VLOOKUP('Données projet'!$B$11,Paramètres!$A$1:$I$89,3,0)*VLOOKUP('Données projet'!$B$11,Paramètres!$A$1:$I$89,5,0)</f>
        <v>117.00000000000004</v>
      </c>
      <c r="BF44" s="13">
        <f t="shared" si="37"/>
        <v>30.974270896484146</v>
      </c>
      <c r="BG44" s="20">
        <f t="shared" si="7"/>
        <v>257.72185514470999</v>
      </c>
      <c r="BH44" s="59">
        <f t="shared" si="8"/>
        <v>551.05518847804331</v>
      </c>
      <c r="BI44" s="59">
        <f ca="1">AVERAGE(OFFSET($BH$3,0,0,'Données projet'!$E$11+1,1))-AVERAGE(OFFSET($H$3,0,0,'Données projet'!$E$11+1,1))</f>
        <v>162.91481796710048</v>
      </c>
      <c r="BJ44" s="59">
        <f t="shared" si="38"/>
        <v>182.56192390367823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2.2368805655723092</v>
      </c>
      <c r="BQ44" s="21">
        <f>EXP(-LN(2)/25)*BQ43+(1-EXP(-LN(2)/25))/(LN(2)/25)*Calculateur!BL44*Calculateur!BN44*VLOOKUP('Données projet'!$B$11,Paramètres!$A$1:$I$89,3,0)*0.475*44/12</f>
        <v>11.262383196339783</v>
      </c>
      <c r="BR44" s="21">
        <f>EXP(-LN(2)/2)*BR43+(1-EXP(-LN(2)/2))/(LN(2)/2)*BL44*BO44*VLOOKUP('Données projet'!$B$11,Paramètres!$A$1:$I$89,3,0)*0.475*44/12</f>
        <v>0.39707836310414796</v>
      </c>
      <c r="BS44" s="22">
        <f t="shared" si="9"/>
        <v>13.896342125016242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7.0000000000000027</v>
      </c>
      <c r="BY44" s="12">
        <f>IF('Données projet'!$A$114&gt;35,BY43+BX44-CG43,IF(A44&lt;'Données projet'!$A$114,$BV$205^A44,IF(A44='Données projet'!$A$114,'Données projet'!$B$114,BY43+BX44-CG43)))</f>
        <v>178.39999999999998</v>
      </c>
      <c r="BZ44" s="13">
        <f>BY44*VLOOKUP('Données projet'!$B$12,Paramètres!$A$1:$I$89,3,0)*VLOOKUP('Données projet'!$B$12,Paramètres!$A$1:$I$89,5,0)</f>
        <v>83.491199999999992</v>
      </c>
      <c r="CA44" s="13">
        <f t="shared" si="39"/>
        <v>22.988667039592098</v>
      </c>
      <c r="CB44" s="20">
        <f t="shared" si="10"/>
        <v>185.45243509395621</v>
      </c>
      <c r="CC44" s="59">
        <f t="shared" si="11"/>
        <v>478.78576842728955</v>
      </c>
      <c r="CD44" s="59">
        <f ca="1">AVERAGE(OFFSET($CC$3,0,0,'Données projet'!$E$12+1,1))-AVERAGE(OFFSET($H$3,0,0,'Données projet'!$E$12+1,1))</f>
        <v>123.60520571614535</v>
      </c>
      <c r="CE44" s="59">
        <f t="shared" si="40"/>
        <v>119.00926870519527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0.6975272656483299</v>
      </c>
      <c r="CL44" s="21">
        <f>EXP(-LN(2)/25)*CL43+(1-EXP(-LN(2)/25))/(LN(2)/25)*Calculateur!CG44*Calculateur!CI44*VLOOKUP('Données projet'!$B$12,Paramètres!$A$1:$I$89,3,0)*0.475*44/12</f>
        <v>3.5211137887378783</v>
      </c>
      <c r="CM44" s="21">
        <f>EXP(-LN(2)/2)*CM43+(1-EXP(-LN(2)/2))/(LN(2)/2)*CG44*CJ44*VLOOKUP('Données projet'!$B$12,Paramètres!$A$1:$I$89,3,0)*0.475*44/12</f>
        <v>0.13509519207674392</v>
      </c>
      <c r="CN44" s="22">
        <f t="shared" si="12"/>
        <v>4.3537362464629519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88.423920000000024</v>
      </c>
      <c r="CV44" s="13">
        <f t="shared" si="41"/>
        <v>24.184722491413467</v>
      </c>
      <c r="CW44" s="20">
        <f t="shared" si="13"/>
        <v>196.1267190058785</v>
      </c>
      <c r="CX44" s="59">
        <f t="shared" si="14"/>
        <v>489.46005233921181</v>
      </c>
      <c r="CY44" s="59">
        <f ca="1">AVERAGE(OFFSET($CX$3,0,0,'Données projet'!$E$13+1,1))-AVERAGE(OFFSET($H$3,0,0,'Données projet'!$E$13+1,1))</f>
        <v>177.94336949486529</v>
      </c>
      <c r="CZ44" s="59">
        <f t="shared" si="42"/>
        <v>65.559373432574603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10.7</v>
      </c>
      <c r="DO44" s="12">
        <f>IF('Données projet'!$A$166&gt;35,DO43+DN44-DW43,IF(A44&lt;'Données projet'!$A$166,$DL$205^A44,IF(A44='Données projet'!$A$166,'Données projet'!$B$166,DO43+DN44-DW43)))</f>
        <v>187.69999999999996</v>
      </c>
      <c r="DP44" s="17">
        <f>DO44*VLOOKUP('Données projet'!$B$14,Paramètres!$A$1:$I$89,3,0)*VLOOKUP('Données projet'!$B$14,Paramètres!$A$1:$I$89,5,0)</f>
        <v>112.24459999999998</v>
      </c>
      <c r="DQ44" s="13">
        <f t="shared" si="43"/>
        <v>29.859206502823753</v>
      </c>
      <c r="DR44" s="20">
        <f t="shared" si="16"/>
        <v>247.49746299241795</v>
      </c>
      <c r="DS44" s="59">
        <f t="shared" si="17"/>
        <v>540.83079632575129</v>
      </c>
      <c r="DT44" s="59">
        <f ca="1">AVERAGE(OFFSET($DS$3,0,0,'Données projet'!$E$14+1,1))-AVERAGE(OFFSET($H$3,0,0,'Données projet'!$E$14+1,1))</f>
        <v>165.39579887388538</v>
      </c>
      <c r="DU44" s="59">
        <f t="shared" si="44"/>
        <v>155.89639262545802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5.3731548778924569</v>
      </c>
      <c r="EC44" s="21">
        <f>EXP(-LN(2)/2)*EC43+(1-EXP(-LN(2)/2))/(LN(2)/2)*DW44*DZ44*VLOOKUP('Données projet'!$B$14,Paramètres!$A$1:$I$89,3,0)*0.475*44/12</f>
        <v>0.30670835598739532</v>
      </c>
      <c r="ED44" s="22">
        <f t="shared" si="18"/>
        <v>5.6798632338798525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19.2</v>
      </c>
      <c r="EJ44" s="12">
        <f>IF('Données projet'!$A$192&gt;35,EJ43+EI44-ER43,IF(A44&lt;'Données projet'!$A$192,$EG$205^A44,IF(A44='Données projet'!$A$192,'Données projet'!$B$192,EJ43+EI44-ER43)))</f>
        <v>317.19999999999987</v>
      </c>
      <c r="EK44" s="17">
        <f>EJ44*VLOOKUP('Données projet'!$B$15,Paramètres!$A$1:$I$89,3,0)*VLOOKUP('Données projet'!$B$15,Paramètres!$A$1:$I$89,5,0)</f>
        <v>152.57319999999993</v>
      </c>
      <c r="EL44" s="13">
        <f t="shared" si="45"/>
        <v>39.162774413815789</v>
      </c>
      <c r="EM44" s="20">
        <f t="shared" si="19"/>
        <v>333.94015543739573</v>
      </c>
      <c r="EN44" s="59">
        <f t="shared" si="20"/>
        <v>627.27348877072905</v>
      </c>
      <c r="EO44" s="59">
        <f ca="1">AVERAGE(OFFSET($EN$3,0,0,'Données projet'!$E$15+1,1))-AVERAGE(OFFSET($H$3,0,0,'Données projet'!$E$15+1,1))</f>
        <v>252.30925789500111</v>
      </c>
      <c r="EP44" s="59">
        <f t="shared" si="46"/>
        <v>213.96033794804805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3.7256377574654893</v>
      </c>
      <c r="EW44" s="21">
        <f>EXP(-LN(2)/25)*EW43+(1-EXP(-LN(2)/25))/(LN(2)/25)*Calculateur!ER44*Calculateur!ET44*VLOOKUP('Données projet'!$B$15,Paramètres!$A$1:$I$89,3,0)*0.475*44/12</f>
        <v>6.8025774162812374</v>
      </c>
      <c r="EX44" s="21">
        <f>EXP(-LN(2)/2)*EX43+(1-EXP(-LN(2)/2))/(LN(2)/2)*ER44*EU44*VLOOKUP('Données projet'!$B$15,Paramètres!$A$1:$I$89,3,0)*0.475*44/12</f>
        <v>0.31770172017867221</v>
      </c>
      <c r="EY44" s="22">
        <f t="shared" si="21"/>
        <v>10.845916893925398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19.2</v>
      </c>
      <c r="FE44" s="12">
        <f>IF('Données projet'!$A$218&gt;35,FE43+FD44-FM43,IF(A44&lt;'Données projet'!$A$218,$FB$205^A44,IF(A44='Données projet'!$A$218,'Données projet'!$B$218,FE43+FD44-FM43)))</f>
        <v>317.19999999999987</v>
      </c>
      <c r="FF44" s="17">
        <f>FE44*VLOOKUP('Données projet'!$B$16,Paramètres!$A$1:$I$89,3,0)*VLOOKUP('Données projet'!$B$16,Paramètres!$A$1:$I$89,5,0)</f>
        <v>152.57319999999993</v>
      </c>
      <c r="FG44" s="13">
        <f t="shared" si="47"/>
        <v>39.162774413815789</v>
      </c>
      <c r="FH44" s="20">
        <f t="shared" si="22"/>
        <v>333.94015543739573</v>
      </c>
      <c r="FI44" s="59">
        <f t="shared" si="23"/>
        <v>627.27348877072905</v>
      </c>
      <c r="FJ44" s="59">
        <f ca="1">AVERAGE(OFFSET($FI$3,0,0,'Données projet'!$E$16+1,1))-AVERAGE(OFFSET($H$3,0,0,'Données projet'!$E$16+1,1))</f>
        <v>252.30925789500111</v>
      </c>
      <c r="FK44" s="59">
        <f t="shared" si="48"/>
        <v>213.96033794804805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3.7256377574654893</v>
      </c>
      <c r="FR44" s="21">
        <f>EXP(-LN(2)/25)*FR43+(1-EXP(-LN(2)/25))/(LN(2)/25)*Calculateur!FM44*Calculateur!FO44*VLOOKUP('Données projet'!$B$16,Paramètres!$A$1:$I$89,3,0)*0.475*44/12</f>
        <v>6.8025774162812374</v>
      </c>
      <c r="FS44" s="21">
        <f>EXP(-LN(2)/2)*FS43+(1-EXP(-LN(2)/2))/(LN(2)/2)*FM44*FP44*VLOOKUP('Données projet'!$B$16,Paramètres!$A$1:$I$89,3,0)*0.475*44/12</f>
        <v>0.31770172017867221</v>
      </c>
      <c r="FT44" s="22">
        <f t="shared" si="24"/>
        <v>10.845916893925398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7.333333333333333</v>
      </c>
      <c r="FZ44" s="12">
        <f>IF('Données projet'!$A$244&gt;35,FZ43+FY44-GH43,IF(A44&lt;'Données projet'!$A$244,$FW$205^A44,IF(A44='Données projet'!$A$244,'Données projet'!$B$244,FZ43+FY44-GH43)))</f>
        <v>191.33333333333329</v>
      </c>
      <c r="GA44" s="17">
        <f>FZ44*VLOOKUP('Données projet'!$B$17,Paramètres!$A$1:$I$89,3,0)*VLOOKUP('Données projet'!$B$17,Paramètres!$A$1:$I$89,5,0)</f>
        <v>114.41733333333332</v>
      </c>
      <c r="GB44" s="13">
        <f t="shared" si="49"/>
        <v>30.36934592669316</v>
      </c>
      <c r="GC44" s="20">
        <f t="shared" si="25"/>
        <v>252.17013304454611</v>
      </c>
      <c r="GD44" s="59">
        <f t="shared" si="26"/>
        <v>545.50346637787948</v>
      </c>
      <c r="GE44" s="59">
        <f ca="1">AVERAGE(OFFSET($GD$3,0,0,'Données projet'!$E$17+1,1))-AVERAGE(OFFSET($H$3,0,0,'Données projet'!$E$17+1,1))</f>
        <v>117.54638373164624</v>
      </c>
      <c r="GF44" s="59">
        <f t="shared" si="50"/>
        <v>133.0740262536583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1.7792391806612773</v>
      </c>
      <c r="GM44" s="21">
        <f>EXP(-LN(2)/25)*GM43+(1-EXP(-LN(2)/25))/(LN(2)/25)*Calculateur!GH44*Calculateur!GJ44*VLOOKUP('Données projet'!$B$17,Paramètres!$A$1:$I$89,3,0)*0.475*44/12</f>
        <v>6.3803343596649631</v>
      </c>
      <c r="GN44" s="21">
        <f>EXP(-LN(2)/2)*GN43+(1-EXP(-LN(2)/2))/(LN(2)/2)*GH44*GK44*VLOOKUP('Données projet'!$B$17,Paramètres!$A$1:$I$89,3,0)*0.475*44/12</f>
        <v>8.9394264732911552E-2</v>
      </c>
      <c r="GO44" s="21">
        <f t="shared" si="27"/>
        <v>8.2489678050591522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2.8421709430404007E-14</v>
      </c>
      <c r="GV44" s="17">
        <f>GU44*VLOOKUP('Données projet'!$B$18,Paramètres!$A$1:$I$89,3,0)*VLOOKUP('Données projet'!$B$18,Paramètres!$A$1:$I$89,5,0)</f>
        <v>1.3567387213697657E-14</v>
      </c>
      <c r="GW44" s="13">
        <f t="shared" si="51"/>
        <v>2.5717320947985821E-13</v>
      </c>
      <c r="GX44" s="20">
        <f t="shared" si="28"/>
        <v>4.7153987257460977E-13</v>
      </c>
      <c r="GY44" s="59">
        <f t="shared" si="29"/>
        <v>293.33333333333377</v>
      </c>
      <c r="GZ44" s="59">
        <f ca="1">AVERAGE(OFFSET($GY$3,0,0,'Données projet'!$E$18+1,1))-AVERAGE(OFFSET($H$3,0,0,'Données projet'!$E$18+1,1))</f>
        <v>43.147469606759159</v>
      </c>
      <c r="HA44" s="59">
        <f t="shared" si="52"/>
        <v>147.46995307968473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29.002871152692869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1.2179460370700945E-2</v>
      </c>
      <c r="HJ44" s="22">
        <f t="shared" si="30"/>
        <v>29.015050613063568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5.6</v>
      </c>
      <c r="N45" s="13">
        <f>IF('Données projet'!$A$36&gt;35,N44+M45-V44,IF(A45&lt;'Données projet'!$A$36,$K$205^A45,IF(A45='Données projet'!$A$36,'Données projet'!$B$36,N44+M45-V44)))</f>
        <v>90.2</v>
      </c>
      <c r="O45" s="13">
        <f>N45*VLOOKUP('Données projet'!$B$9,Paramètres!$A$1:$I$89,3,0)*VLOOKUP('Données projet'!$B$9,Paramètres!$A$1:$I$89,5,0)</f>
        <v>81.612960000000001</v>
      </c>
      <c r="P45" s="13">
        <f t="shared" si="33"/>
        <v>22.531101896247538</v>
      </c>
      <c r="Q45" s="20">
        <f t="shared" si="53"/>
        <v>181.38424113596443</v>
      </c>
      <c r="R45" s="59">
        <f t="shared" si="0"/>
        <v>474.71757446929774</v>
      </c>
      <c r="S45" s="59">
        <f ca="1">AVERAGE(OFFSET($R$3,0,0,'Données projet'!$E$9+1,1))-AVERAGE(OFFSET($H$3,0,0,'Données projet'!$E$9+1,1))</f>
        <v>138.8931001150624</v>
      </c>
      <c r="T45" s="59">
        <f t="shared" si="34"/>
        <v>48.964659354096625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7.2</v>
      </c>
      <c r="AI45" s="13">
        <f>IF('Données projet'!$A$62&gt;35,AI44+AH45-AQ44,IF(A45&lt;'Données projet'!$A$62,$AF$205^A45,IF(A45='Données projet'!$A$62,'Données projet'!$B$62,AI44+AH45-AQ44)))</f>
        <v>156.39999999999984</v>
      </c>
      <c r="AJ45" s="13">
        <f>AI45*VLOOKUP('Données projet'!$B$10,Paramètres!$A$1:$I$89,3,0)*VLOOKUP('Données projet'!$B$10,Paramètres!$A$1:$I$89,5,0)</f>
        <v>136.63103999999987</v>
      </c>
      <c r="AK45" s="13">
        <f t="shared" si="35"/>
        <v>35.524133363879926</v>
      </c>
      <c r="AL45" s="20">
        <f t="shared" si="4"/>
        <v>299.8369269420906</v>
      </c>
      <c r="AM45" s="59">
        <f t="shared" si="5"/>
        <v>593.17026027542397</v>
      </c>
      <c r="AN45" s="59">
        <f ca="1">AVERAGE(OFFSET($AM$3,0,0,'Données projet'!$E$10+1,1))-AVERAGE(OFFSET($H$3,0,0,'Données projet'!$E$10+1,1))</f>
        <v>191.94797389630673</v>
      </c>
      <c r="AO45" s="59">
        <f t="shared" si="36"/>
        <v>273.52540822767878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10.072209960366385</v>
      </c>
      <c r="AW45" s="21">
        <f>EXP(-LN(2)/2)*AW44+(1-EXP(-LN(2)/2))/(LN(2)/2)*AQ45*AT45*VLOOKUP('Données projet'!$B$10,Paramètres!$A$1:$I$89,3,0)*0.475*44/12</f>
        <v>0.36254785811983398</v>
      </c>
      <c r="AX45" s="21">
        <f t="shared" si="6"/>
        <v>12.4648211961421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9.5</v>
      </c>
      <c r="BD45" s="12">
        <f>IF('Données projet'!$A$88&gt;35,BD44+BC45-BL44,IF(A45&lt;'Données projet'!$A$88,$BA$205^A45,IF(A45='Données projet'!$A$88,'Données projet'!$B$88,BD44+BC45-BL44)))</f>
        <v>197.00000000000006</v>
      </c>
      <c r="BE45" s="13">
        <f>BD45*VLOOKUP('Données projet'!$B$11,Paramètres!$A$1:$I$89,3,0)*VLOOKUP('Données projet'!$B$11,Paramètres!$A$1:$I$89,5,0)</f>
        <v>122.92800000000004</v>
      </c>
      <c r="BF45" s="13">
        <f t="shared" si="37"/>
        <v>32.356946120737945</v>
      </c>
      <c r="BG45" s="20">
        <f t="shared" si="7"/>
        <v>270.45461449361864</v>
      </c>
      <c r="BH45" s="59">
        <f t="shared" si="8"/>
        <v>563.78794782695195</v>
      </c>
      <c r="BI45" s="59">
        <f ca="1">AVERAGE(OFFSET($BH$3,0,0,'Données projet'!$E$11+1,1))-AVERAGE(OFFSET($H$3,0,0,'Données projet'!$E$11+1,1))</f>
        <v>162.91481796710048</v>
      </c>
      <c r="BJ45" s="59">
        <f t="shared" si="38"/>
        <v>182.56192390367823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2.1930167020438618</v>
      </c>
      <c r="BQ45" s="21">
        <f>EXP(-LN(2)/25)*BQ44+(1-EXP(-LN(2)/25))/(LN(2)/25)*Calculateur!BL45*Calculateur!BN45*VLOOKUP('Données projet'!$B$11,Paramètres!$A$1:$I$89,3,0)*0.475*44/12</f>
        <v>10.95441273557288</v>
      </c>
      <c r="BR45" s="21">
        <f>EXP(-LN(2)/2)*BR44+(1-EXP(-LN(2)/2))/(LN(2)/2)*BL45*BO45*VLOOKUP('Données projet'!$B$11,Paramètres!$A$1:$I$89,3,0)*0.475*44/12</f>
        <v>0.28077680321339721</v>
      </c>
      <c r="BS45" s="22">
        <f t="shared" si="9"/>
        <v>13.428206240830139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7.0000000000000027</v>
      </c>
      <c r="BY45" s="12">
        <f>IF('Données projet'!$A$114&gt;35,BY44+BX45-CG44,IF(A45&lt;'Données projet'!$A$114,$BV$205^A45,IF(A45='Données projet'!$A$114,'Données projet'!$B$114,BY44+BX45-CG44)))</f>
        <v>185.39999999999998</v>
      </c>
      <c r="BZ45" s="13">
        <f>BY45*VLOOKUP('Données projet'!$B$12,Paramètres!$A$1:$I$89,3,0)*VLOOKUP('Données projet'!$B$12,Paramètres!$A$1:$I$89,5,0)</f>
        <v>86.767199999999988</v>
      </c>
      <c r="CA45" s="13">
        <f t="shared" si="39"/>
        <v>23.783899326718451</v>
      </c>
      <c r="CB45" s="20">
        <f t="shared" si="10"/>
        <v>192.54316466070131</v>
      </c>
      <c r="CC45" s="59">
        <f t="shared" si="11"/>
        <v>485.87649799403459</v>
      </c>
      <c r="CD45" s="59">
        <f ca="1">AVERAGE(OFFSET($CC$3,0,0,'Données projet'!$E$12+1,1))-AVERAGE(OFFSET($H$3,0,0,'Données projet'!$E$12+1,1))</f>
        <v>123.60520571614535</v>
      </c>
      <c r="CE45" s="59">
        <f t="shared" si="40"/>
        <v>119.00926870519527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0.68384918141858853</v>
      </c>
      <c r="CL45" s="21">
        <f>EXP(-LN(2)/25)*CL44+(1-EXP(-LN(2)/25))/(LN(2)/25)*Calculateur!CG45*Calculateur!CI45*VLOOKUP('Données projet'!$B$12,Paramètres!$A$1:$I$89,3,0)*0.475*44/12</f>
        <v>3.4248287470175143</v>
      </c>
      <c r="CM45" s="21">
        <f>EXP(-LN(2)/2)*CM44+(1-EXP(-LN(2)/2))/(LN(2)/2)*CG45*CJ45*VLOOKUP('Données projet'!$B$12,Paramètres!$A$1:$I$89,3,0)*0.475*44/12</f>
        <v>9.5526726423164773E-2</v>
      </c>
      <c r="CN45" s="22">
        <f t="shared" si="12"/>
        <v>4.204204654859268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94.277040000000014</v>
      </c>
      <c r="CV45" s="13">
        <f t="shared" si="41"/>
        <v>25.593940278103194</v>
      </c>
      <c r="CW45" s="20">
        <f t="shared" si="13"/>
        <v>208.77529065102974</v>
      </c>
      <c r="CX45" s="59">
        <f t="shared" si="14"/>
        <v>502.10862398436302</v>
      </c>
      <c r="CY45" s="59">
        <f ca="1">AVERAGE(OFFSET($CX$3,0,0,'Données projet'!$E$13+1,1))-AVERAGE(OFFSET($H$3,0,0,'Données projet'!$E$13+1,1))</f>
        <v>177.94336949486529</v>
      </c>
      <c r="CZ45" s="59">
        <f t="shared" si="42"/>
        <v>65.559373432574603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10.7</v>
      </c>
      <c r="DO45" s="12">
        <f>IF('Données projet'!$A$166&gt;35,DO44+DN45-DW44,IF(A45&lt;'Données projet'!$A$166,$DL$205^A45,IF(A45='Données projet'!$A$166,'Données projet'!$B$166,DO44+DN45-DW44)))</f>
        <v>198.39999999999995</v>
      </c>
      <c r="DP45" s="17">
        <f>DO45*VLOOKUP('Données projet'!$B$14,Paramètres!$A$1:$I$89,3,0)*VLOOKUP('Données projet'!$B$14,Paramètres!$A$1:$I$89,5,0)</f>
        <v>118.64319999999998</v>
      </c>
      <c r="DQ45" s="13">
        <f t="shared" si="43"/>
        <v>31.35833885368346</v>
      </c>
      <c r="DR45" s="20">
        <f t="shared" si="16"/>
        <v>261.25268017016526</v>
      </c>
      <c r="DS45" s="59">
        <f t="shared" si="17"/>
        <v>554.58601350349863</v>
      </c>
      <c r="DT45" s="59">
        <f ca="1">AVERAGE(OFFSET($DS$3,0,0,'Données projet'!$E$14+1,1))-AVERAGE(OFFSET($H$3,0,0,'Données projet'!$E$14+1,1))</f>
        <v>165.39579887388538</v>
      </c>
      <c r="DU45" s="59">
        <f t="shared" si="44"/>
        <v>155.89639262545802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5.2262256751945531</v>
      </c>
      <c r="EC45" s="21">
        <f>EXP(-LN(2)/2)*EC44+(1-EXP(-LN(2)/2))/(LN(2)/2)*DW45*DZ45*VLOOKUP('Données projet'!$B$14,Paramètres!$A$1:$I$89,3,0)*0.475*44/12</f>
        <v>0.21687555836526487</v>
      </c>
      <c r="ED45" s="22">
        <f t="shared" si="18"/>
        <v>5.4431012335598181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19.2</v>
      </c>
      <c r="EJ45" s="12">
        <f>IF('Données projet'!$A$192&gt;35,EJ44+EI45-ER44,IF(A45&lt;'Données projet'!$A$192,$EG$205^A45,IF(A45='Données projet'!$A$192,'Données projet'!$B$192,EJ44+EI45-ER44)))</f>
        <v>336.39999999999986</v>
      </c>
      <c r="EK45" s="17">
        <f>EJ45*VLOOKUP('Données projet'!$B$15,Paramètres!$A$1:$I$89,3,0)*VLOOKUP('Données projet'!$B$15,Paramètres!$A$1:$I$89,5,0)</f>
        <v>161.80839999999995</v>
      </c>
      <c r="EL45" s="13">
        <f t="shared" si="45"/>
        <v>41.250137884305239</v>
      </c>
      <c r="EM45" s="20">
        <f t="shared" si="19"/>
        <v>353.66028681516491</v>
      </c>
      <c r="EN45" s="59">
        <f t="shared" si="20"/>
        <v>646.99362014849817</v>
      </c>
      <c r="EO45" s="59">
        <f ca="1">AVERAGE(OFFSET($EN$3,0,0,'Données projet'!$E$15+1,1))-AVERAGE(OFFSET($H$3,0,0,'Données projet'!$E$15+1,1))</f>
        <v>252.30925789500111</v>
      </c>
      <c r="EP45" s="59">
        <f t="shared" si="46"/>
        <v>213.96033794804805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3.6525802734562407</v>
      </c>
      <c r="EW45" s="21">
        <f>EXP(-LN(2)/25)*EW44+(1-EXP(-LN(2)/25))/(LN(2)/25)*Calculateur!ER45*Calculateur!ET45*VLOOKUP('Données projet'!$B$15,Paramètres!$A$1:$I$89,3,0)*0.475*44/12</f>
        <v>6.6165605791010282</v>
      </c>
      <c r="EX45" s="21">
        <f>EXP(-LN(2)/2)*EX44+(1-EXP(-LN(2)/2))/(LN(2)/2)*ER45*EU45*VLOOKUP('Données projet'!$B$15,Paramètres!$A$1:$I$89,3,0)*0.475*44/12</f>
        <v>0.22464904073297012</v>
      </c>
      <c r="EY45" s="22">
        <f t="shared" si="21"/>
        <v>10.49378989329024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19.2</v>
      </c>
      <c r="FE45" s="12">
        <f>IF('Données projet'!$A$218&gt;35,FE44+FD45-FM44,IF(A45&lt;'Données projet'!$A$218,$FB$205^A45,IF(A45='Données projet'!$A$218,'Données projet'!$B$218,FE44+FD45-FM44)))</f>
        <v>336.39999999999986</v>
      </c>
      <c r="FF45" s="17">
        <f>FE45*VLOOKUP('Données projet'!$B$16,Paramètres!$A$1:$I$89,3,0)*VLOOKUP('Données projet'!$B$16,Paramètres!$A$1:$I$89,5,0)</f>
        <v>161.80839999999995</v>
      </c>
      <c r="FG45" s="13">
        <f t="shared" si="47"/>
        <v>41.250137884305239</v>
      </c>
      <c r="FH45" s="20">
        <f t="shared" si="22"/>
        <v>353.66028681516491</v>
      </c>
      <c r="FI45" s="59">
        <f t="shared" si="23"/>
        <v>646.99362014849817</v>
      </c>
      <c r="FJ45" s="59">
        <f ca="1">AVERAGE(OFFSET($FI$3,0,0,'Données projet'!$E$16+1,1))-AVERAGE(OFFSET($H$3,0,0,'Données projet'!$E$16+1,1))</f>
        <v>252.30925789500111</v>
      </c>
      <c r="FK45" s="59">
        <f t="shared" si="48"/>
        <v>213.96033794804805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3.6525802734562407</v>
      </c>
      <c r="FR45" s="21">
        <f>EXP(-LN(2)/25)*FR44+(1-EXP(-LN(2)/25))/(LN(2)/25)*Calculateur!FM45*Calculateur!FO45*VLOOKUP('Données projet'!$B$16,Paramètres!$A$1:$I$89,3,0)*0.475*44/12</f>
        <v>6.6165605791010282</v>
      </c>
      <c r="FS45" s="21">
        <f>EXP(-LN(2)/2)*FS44+(1-EXP(-LN(2)/2))/(LN(2)/2)*FM45*FP45*VLOOKUP('Données projet'!$B$16,Paramètres!$A$1:$I$89,3,0)*0.475*44/12</f>
        <v>0.22464904073297012</v>
      </c>
      <c r="FT45" s="22">
        <f t="shared" si="24"/>
        <v>10.49378989329024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7.333333333333333</v>
      </c>
      <c r="FZ45" s="12">
        <f>IF('Données projet'!$A$244&gt;35,FZ44+FY45-GH44,IF(A45&lt;'Données projet'!$A$244,$FW$205^A45,IF(A45='Données projet'!$A$244,'Données projet'!$B$244,FZ44+FY45-GH44)))</f>
        <v>198.66666666666663</v>
      </c>
      <c r="GA45" s="17">
        <f>FZ45*VLOOKUP('Données projet'!$B$17,Paramètres!$A$1:$I$89,3,0)*VLOOKUP('Données projet'!$B$17,Paramètres!$A$1:$I$89,5,0)</f>
        <v>118.80266666666665</v>
      </c>
      <c r="GB45" s="13">
        <f t="shared" si="49"/>
        <v>31.395578184054404</v>
      </c>
      <c r="GC45" s="20">
        <f t="shared" si="25"/>
        <v>261.59527644833923</v>
      </c>
      <c r="GD45" s="59">
        <f t="shared" si="26"/>
        <v>554.92860978167255</v>
      </c>
      <c r="GE45" s="59">
        <f ca="1">AVERAGE(OFFSET($GD$3,0,0,'Données projet'!$E$17+1,1))-AVERAGE(OFFSET($H$3,0,0,'Données projet'!$E$17+1,1))</f>
        <v>117.54638373164624</v>
      </c>
      <c r="GF45" s="59">
        <f t="shared" si="50"/>
        <v>133.0740262536583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1.7443493855572525</v>
      </c>
      <c r="GM45" s="21">
        <f>EXP(-LN(2)/25)*GM44+(1-EXP(-LN(2)/25))/(LN(2)/25)*Calculateur!GH45*Calculateur!GJ45*VLOOKUP('Données projet'!$B$17,Paramètres!$A$1:$I$89,3,0)*0.475*44/12</f>
        <v>6.2058637810727229</v>
      </c>
      <c r="GN45" s="21">
        <f>EXP(-LN(2)/2)*GN44+(1-EXP(-LN(2)/2))/(LN(2)/2)*GH45*GK45*VLOOKUP('Données projet'!$B$17,Paramètres!$A$1:$I$89,3,0)*0.475*44/12</f>
        <v>6.321129079182719E-2</v>
      </c>
      <c r="GO45" s="21">
        <f t="shared" si="27"/>
        <v>8.0134244574218023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2.8421709430404007E-14</v>
      </c>
      <c r="GV45" s="17">
        <f>GU45*VLOOKUP('Données projet'!$B$18,Paramètres!$A$1:$I$89,3,0)*VLOOKUP('Données projet'!$B$18,Paramètres!$A$1:$I$89,5,0)</f>
        <v>1.3567387213697657E-14</v>
      </c>
      <c r="GW45" s="13">
        <f t="shared" si="51"/>
        <v>2.5717320947985821E-13</v>
      </c>
      <c r="GX45" s="20">
        <f t="shared" si="28"/>
        <v>4.7153987257460977E-13</v>
      </c>
      <c r="GY45" s="59">
        <f t="shared" si="29"/>
        <v>293.33333333333377</v>
      </c>
      <c r="GZ45" s="59">
        <f ca="1">AVERAGE(OFFSET($GY$3,0,0,'Données projet'!$E$18+1,1))-AVERAGE(OFFSET($H$3,0,0,'Données projet'!$E$18+1,1))</f>
        <v>43.147469606759159</v>
      </c>
      <c r="HA45" s="59">
        <f t="shared" si="52"/>
        <v>147.46995307968473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28.434142539393221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8.61217901931546E-3</v>
      </c>
      <c r="HJ45" s="22">
        <f t="shared" si="30"/>
        <v>28.442754718412537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5.6</v>
      </c>
      <c r="N46" s="13">
        <f>IF('Données projet'!$A$36&gt;35,N45+M46-V45,IF(A46&lt;'Données projet'!$A$36,$K$205^A46,IF(A46='Données projet'!$A$36,'Données projet'!$B$36,N45+M46-V45)))</f>
        <v>95.8</v>
      </c>
      <c r="O46" s="13">
        <f>N46*VLOOKUP('Données projet'!$B$9,Paramètres!$A$1:$I$89,3,0)*VLOOKUP('Données projet'!$B$9,Paramètres!$A$1:$I$89,5,0)</f>
        <v>86.679839999999999</v>
      </c>
      <c r="P46" s="13">
        <f t="shared" si="33"/>
        <v>23.762739053789723</v>
      </c>
      <c r="Q46" s="20">
        <f t="shared" si="53"/>
        <v>192.35415851868379</v>
      </c>
      <c r="R46" s="59">
        <f t="shared" si="0"/>
        <v>485.6874918520171</v>
      </c>
      <c r="S46" s="59">
        <f ca="1">AVERAGE(OFFSET($R$3,0,0,'Données projet'!$E$9+1,1))-AVERAGE(OFFSET($H$3,0,0,'Données projet'!$E$9+1,1))</f>
        <v>138.8931001150624</v>
      </c>
      <c r="T46" s="59">
        <f t="shared" si="34"/>
        <v>48.964659354096625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7.2</v>
      </c>
      <c r="AI46" s="13">
        <f>IF('Données projet'!$A$62&gt;35,AI45+AH46-AQ45,IF(A46&lt;'Données projet'!$A$62,$AF$205^A46,IF(A46='Données projet'!$A$62,'Données projet'!$B$62,AI45+AH46-AQ45)))</f>
        <v>163.59999999999982</v>
      </c>
      <c r="AJ46" s="13">
        <f>AI46*VLOOKUP('Données projet'!$B$10,Paramètres!$A$1:$I$89,3,0)*VLOOKUP('Données projet'!$B$10,Paramètres!$A$1:$I$89,5,0)</f>
        <v>142.92095999999987</v>
      </c>
      <c r="AK46" s="13">
        <f t="shared" si="35"/>
        <v>36.965350113713619</v>
      </c>
      <c r="AL46" s="20">
        <f t="shared" si="4"/>
        <v>313.30199011471763</v>
      </c>
      <c r="AM46" s="59">
        <f t="shared" si="5"/>
        <v>606.63532344805094</v>
      </c>
      <c r="AN46" s="59">
        <f ca="1">AVERAGE(OFFSET($AM$3,0,0,'Données projet'!$E$10+1,1))-AVERAGE(OFFSET($H$3,0,0,'Données projet'!$E$10+1,1))</f>
        <v>191.94797389630673</v>
      </c>
      <c r="AO46" s="59">
        <f t="shared" si="36"/>
        <v>273.52540822767878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9.7967848493256646</v>
      </c>
      <c r="AW46" s="21">
        <f>EXP(-LN(2)/2)*AW45+(1-EXP(-LN(2)/2))/(LN(2)/2)*AQ46*AT46*VLOOKUP('Données projet'!$B$10,Paramètres!$A$1:$I$89,3,0)*0.475*44/12</f>
        <v>0.25636004898119291</v>
      </c>
      <c r="AX46" s="21">
        <f t="shared" si="6"/>
        <v>12.043399971343304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9.5</v>
      </c>
      <c r="BD46" s="12">
        <f>IF('Données projet'!$A$88&gt;35,BD45+BC46-BL45,IF(A46&lt;'Données projet'!$A$88,$BA$205^A46,IF(A46='Données projet'!$A$88,'Données projet'!$B$88,BD45+BC46-BL45)))</f>
        <v>206.50000000000006</v>
      </c>
      <c r="BE46" s="13">
        <f>BD46*VLOOKUP('Données projet'!$B$11,Paramètres!$A$1:$I$89,3,0)*VLOOKUP('Données projet'!$B$11,Paramètres!$A$1:$I$89,5,0)</f>
        <v>128.85600000000002</v>
      </c>
      <c r="BF46" s="13">
        <f t="shared" si="37"/>
        <v>33.731878688740906</v>
      </c>
      <c r="BG46" s="20">
        <f t="shared" si="7"/>
        <v>283.17388871622381</v>
      </c>
      <c r="BH46" s="59">
        <f t="shared" si="8"/>
        <v>576.50722204955719</v>
      </c>
      <c r="BI46" s="59">
        <f ca="1">AVERAGE(OFFSET($BH$3,0,0,'Données projet'!$E$11+1,1))-AVERAGE(OFFSET($H$3,0,0,'Données projet'!$E$11+1,1))</f>
        <v>162.91481796710048</v>
      </c>
      <c r="BJ46" s="59">
        <f t="shared" si="38"/>
        <v>182.56192390367823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2.1500129821248919</v>
      </c>
      <c r="BQ46" s="21">
        <f>EXP(-LN(2)/25)*BQ45+(1-EXP(-LN(2)/25))/(LN(2)/25)*Calculateur!BL46*Calculateur!BN46*VLOOKUP('Données projet'!$B$11,Paramètres!$A$1:$I$89,3,0)*0.475*44/12</f>
        <v>10.654863743251111</v>
      </c>
      <c r="BR46" s="21">
        <f>EXP(-LN(2)/2)*BR45+(1-EXP(-LN(2)/2))/(LN(2)/2)*BL46*BO46*VLOOKUP('Données projet'!$B$11,Paramètres!$A$1:$I$89,3,0)*0.475*44/12</f>
        <v>0.19853918155207398</v>
      </c>
      <c r="BS46" s="22">
        <f t="shared" si="9"/>
        <v>13.003415906928076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7.0000000000000027</v>
      </c>
      <c r="BY46" s="12">
        <f>IF('Données projet'!$A$114&gt;35,BY45+BX46-CG45,IF(A46&lt;'Données projet'!$A$114,$BV$205^A46,IF(A46='Données projet'!$A$114,'Données projet'!$B$114,BY45+BX46-CG45)))</f>
        <v>192.39999999999998</v>
      </c>
      <c r="BZ46" s="13">
        <f>BY46*VLOOKUP('Données projet'!$B$12,Paramètres!$A$1:$I$89,3,0)*VLOOKUP('Données projet'!$B$12,Paramètres!$A$1:$I$89,5,0)</f>
        <v>90.043199999999999</v>
      </c>
      <c r="CA46" s="13">
        <f t="shared" si="39"/>
        <v>24.575643502648031</v>
      </c>
      <c r="CB46" s="20">
        <f t="shared" si="10"/>
        <v>199.62781910044532</v>
      </c>
      <c r="CC46" s="59">
        <f t="shared" si="11"/>
        <v>492.96115243377864</v>
      </c>
      <c r="CD46" s="59">
        <f ca="1">AVERAGE(OFFSET($CC$3,0,0,'Données projet'!$E$12+1,1))-AVERAGE(OFFSET($H$3,0,0,'Données projet'!$E$12+1,1))</f>
        <v>123.60520571614535</v>
      </c>
      <c r="CE46" s="59">
        <f t="shared" si="40"/>
        <v>119.00926870519527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0.67043931607778484</v>
      </c>
      <c r="CL46" s="21">
        <f>EXP(-LN(2)/25)*CL45+(1-EXP(-LN(2)/25))/(LN(2)/25)*Calculateur!CG46*Calculateur!CI46*VLOOKUP('Données projet'!$B$12,Paramètres!$A$1:$I$89,3,0)*0.475*44/12</f>
        <v>3.3311766248264041</v>
      </c>
      <c r="CM46" s="21">
        <f>EXP(-LN(2)/2)*CM45+(1-EXP(-LN(2)/2))/(LN(2)/2)*CG46*CJ46*VLOOKUP('Données projet'!$B$12,Paramètres!$A$1:$I$89,3,0)*0.475*44/12</f>
        <v>6.754759603837196E-2</v>
      </c>
      <c r="CN46" s="22">
        <f t="shared" si="12"/>
        <v>4.0691635369425612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100.13016000000002</v>
      </c>
      <c r="CV46" s="13">
        <f t="shared" si="41"/>
        <v>26.99300402561024</v>
      </c>
      <c r="CW46" s="20">
        <f t="shared" si="13"/>
        <v>221.40617734460454</v>
      </c>
      <c r="CX46" s="59">
        <f t="shared" si="14"/>
        <v>514.73951067793791</v>
      </c>
      <c r="CY46" s="59">
        <f ca="1">AVERAGE(OFFSET($CX$3,0,0,'Données projet'!$E$13+1,1))-AVERAGE(OFFSET($H$3,0,0,'Données projet'!$E$13+1,1))</f>
        <v>177.94336949486529</v>
      </c>
      <c r="CZ46" s="59">
        <f t="shared" si="42"/>
        <v>65.559373432574603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10.7</v>
      </c>
      <c r="DO46" s="12">
        <f>IF('Données projet'!$A$166&gt;35,DO45+DN46-DW45,IF(A46&lt;'Données projet'!$A$166,$DL$205^A46,IF(A46='Données projet'!$A$166,'Données projet'!$B$166,DO45+DN46-DW45)))</f>
        <v>209.09999999999994</v>
      </c>
      <c r="DP46" s="17">
        <f>DO46*VLOOKUP('Données projet'!$B$14,Paramètres!$A$1:$I$89,3,0)*VLOOKUP('Données projet'!$B$14,Paramètres!$A$1:$I$89,5,0)</f>
        <v>125.04179999999998</v>
      </c>
      <c r="DQ46" s="13">
        <f t="shared" si="43"/>
        <v>32.84808489416227</v>
      </c>
      <c r="DR46" s="20">
        <f t="shared" si="16"/>
        <v>274.99154952399925</v>
      </c>
      <c r="DS46" s="59">
        <f t="shared" si="17"/>
        <v>568.32488285733257</v>
      </c>
      <c r="DT46" s="59">
        <f ca="1">AVERAGE(OFFSET($DS$3,0,0,'Données projet'!$E$14+1,1))-AVERAGE(OFFSET($H$3,0,0,'Données projet'!$E$14+1,1))</f>
        <v>165.39579887388538</v>
      </c>
      <c r="DU46" s="59">
        <f t="shared" si="44"/>
        <v>155.89639262545802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5.083314259271094</v>
      </c>
      <c r="EC46" s="21">
        <f>EXP(-LN(2)/2)*EC45+(1-EXP(-LN(2)/2))/(LN(2)/2)*DW46*DZ46*VLOOKUP('Données projet'!$B$14,Paramètres!$A$1:$I$89,3,0)*0.475*44/12</f>
        <v>0.15335417799369766</v>
      </c>
      <c r="ED46" s="22">
        <f t="shared" si="18"/>
        <v>5.2366684372647914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19.2</v>
      </c>
      <c r="EJ46" s="12">
        <f>IF('Données projet'!$A$192&gt;35,EJ45+EI46-ER45,IF(A46&lt;'Données projet'!$A$192,$EG$205^A46,IF(A46='Données projet'!$A$192,'Données projet'!$B$192,EJ45+EI46-ER45)))</f>
        <v>355.59999999999985</v>
      </c>
      <c r="EK46" s="17">
        <f>EJ46*VLOOKUP('Données projet'!$B$15,Paramètres!$A$1:$I$89,3,0)*VLOOKUP('Données projet'!$B$15,Paramètres!$A$1:$I$89,5,0)</f>
        <v>171.04359999999994</v>
      </c>
      <c r="EL46" s="13">
        <f t="shared" si="45"/>
        <v>43.323671951889118</v>
      </c>
      <c r="EM46" s="20">
        <f t="shared" si="19"/>
        <v>373.35633198287337</v>
      </c>
      <c r="EN46" s="59">
        <f t="shared" si="20"/>
        <v>666.68966531620663</v>
      </c>
      <c r="EO46" s="59">
        <f ca="1">AVERAGE(OFFSET($EN$3,0,0,'Données projet'!$E$15+1,1))-AVERAGE(OFFSET($H$3,0,0,'Données projet'!$E$15+1,1))</f>
        <v>252.30925789500111</v>
      </c>
      <c r="EP46" s="59">
        <f t="shared" si="46"/>
        <v>213.96033794804805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3.5809554021477483</v>
      </c>
      <c r="EW46" s="21">
        <f>EXP(-LN(2)/25)*EW45+(1-EXP(-LN(2)/25))/(LN(2)/25)*Calculateur!ER46*Calculateur!ET46*VLOOKUP('Données projet'!$B$15,Paramètres!$A$1:$I$89,3,0)*0.475*44/12</f>
        <v>6.4356303821157121</v>
      </c>
      <c r="EX46" s="21">
        <f>EXP(-LN(2)/2)*EX45+(1-EXP(-LN(2)/2))/(LN(2)/2)*ER46*EU46*VLOOKUP('Données projet'!$B$15,Paramètres!$A$1:$I$89,3,0)*0.475*44/12</f>
        <v>0.1588508600893361</v>
      </c>
      <c r="EY46" s="22">
        <f t="shared" si="21"/>
        <v>10.175436644352796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19.2</v>
      </c>
      <c r="FE46" s="12">
        <f>IF('Données projet'!$A$218&gt;35,FE45+FD46-FM45,IF(A46&lt;'Données projet'!$A$218,$FB$205^A46,IF(A46='Données projet'!$A$218,'Données projet'!$B$218,FE45+FD46-FM45)))</f>
        <v>355.59999999999985</v>
      </c>
      <c r="FF46" s="17">
        <f>FE46*VLOOKUP('Données projet'!$B$16,Paramètres!$A$1:$I$89,3,0)*VLOOKUP('Données projet'!$B$16,Paramètres!$A$1:$I$89,5,0)</f>
        <v>171.04359999999994</v>
      </c>
      <c r="FG46" s="13">
        <f t="shared" si="47"/>
        <v>43.323671951889118</v>
      </c>
      <c r="FH46" s="20">
        <f t="shared" si="22"/>
        <v>373.35633198287337</v>
      </c>
      <c r="FI46" s="59">
        <f t="shared" si="23"/>
        <v>666.68966531620663</v>
      </c>
      <c r="FJ46" s="59">
        <f ca="1">AVERAGE(OFFSET($FI$3,0,0,'Données projet'!$E$16+1,1))-AVERAGE(OFFSET($H$3,0,0,'Données projet'!$E$16+1,1))</f>
        <v>252.30925789500111</v>
      </c>
      <c r="FK46" s="59">
        <f t="shared" si="48"/>
        <v>213.96033794804805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3.5809554021477483</v>
      </c>
      <c r="FR46" s="21">
        <f>EXP(-LN(2)/25)*FR45+(1-EXP(-LN(2)/25))/(LN(2)/25)*Calculateur!FM46*Calculateur!FO46*VLOOKUP('Données projet'!$B$16,Paramètres!$A$1:$I$89,3,0)*0.475*44/12</f>
        <v>6.4356303821157121</v>
      </c>
      <c r="FS46" s="21">
        <f>EXP(-LN(2)/2)*FS45+(1-EXP(-LN(2)/2))/(LN(2)/2)*FM46*FP46*VLOOKUP('Données projet'!$B$16,Paramètres!$A$1:$I$89,3,0)*0.475*44/12</f>
        <v>0.1588508600893361</v>
      </c>
      <c r="FT46" s="22">
        <f t="shared" si="24"/>
        <v>10.175436644352796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7.333333333333333</v>
      </c>
      <c r="FZ46" s="12">
        <f>IF('Données projet'!$A$244&gt;35,FZ45+FY46-GH45,IF(A46&lt;'Données projet'!$A$244,$FW$205^A46,IF(A46='Données projet'!$A$244,'Données projet'!$B$244,FZ45+FY46-GH45)))</f>
        <v>205.99999999999997</v>
      </c>
      <c r="GA46" s="17">
        <f>FZ46*VLOOKUP('Données projet'!$B$17,Paramètres!$A$1:$I$89,3,0)*VLOOKUP('Données projet'!$B$17,Paramètres!$A$1:$I$89,5,0)</f>
        <v>123.18799999999999</v>
      </c>
      <c r="GB46" s="13">
        <f t="shared" si="49"/>
        <v>32.417409489939047</v>
      </c>
      <c r="GC46" s="20">
        <f t="shared" si="25"/>
        <v>271.01275486164383</v>
      </c>
      <c r="GD46" s="59">
        <f t="shared" si="26"/>
        <v>564.34608819497714</v>
      </c>
      <c r="GE46" s="59">
        <f ca="1">AVERAGE(OFFSET($GD$3,0,0,'Données projet'!$E$17+1,1))-AVERAGE(OFFSET($H$3,0,0,'Données projet'!$E$17+1,1))</f>
        <v>117.54638373164624</v>
      </c>
      <c r="GF46" s="59">
        <f t="shared" si="50"/>
        <v>133.0740262536583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1.7101437580545438</v>
      </c>
      <c r="GM46" s="21">
        <f>EXP(-LN(2)/25)*GM45+(1-EXP(-LN(2)/25))/(LN(2)/25)*Calculateur!GH46*Calculateur!GJ46*VLOOKUP('Données projet'!$B$17,Paramètres!$A$1:$I$89,3,0)*0.475*44/12</f>
        <v>6.036164109627097</v>
      </c>
      <c r="GN46" s="21">
        <f>EXP(-LN(2)/2)*GN45+(1-EXP(-LN(2)/2))/(LN(2)/2)*GH46*GK46*VLOOKUP('Données projet'!$B$17,Paramètres!$A$1:$I$89,3,0)*0.475*44/12</f>
        <v>4.4697132366455776E-2</v>
      </c>
      <c r="GO46" s="21">
        <f t="shared" si="27"/>
        <v>7.7910050000480968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2.8421709430404007E-14</v>
      </c>
      <c r="GV46" s="17">
        <f>GU46*VLOOKUP('Données projet'!$B$18,Paramètres!$A$1:$I$89,3,0)*VLOOKUP('Données projet'!$B$18,Paramètres!$A$1:$I$89,5,0)</f>
        <v>1.3567387213697657E-14</v>
      </c>
      <c r="GW46" s="13">
        <f t="shared" si="51"/>
        <v>2.5717320947985821E-13</v>
      </c>
      <c r="GX46" s="20">
        <f t="shared" si="28"/>
        <v>4.7153987257460977E-13</v>
      </c>
      <c r="GY46" s="59">
        <f t="shared" si="29"/>
        <v>293.33333333333377</v>
      </c>
      <c r="GZ46" s="59">
        <f ca="1">AVERAGE(OFFSET($GY$3,0,0,'Données projet'!$E$18+1,1))-AVERAGE(OFFSET($H$3,0,0,'Données projet'!$E$18+1,1))</f>
        <v>43.147469606759159</v>
      </c>
      <c r="HA46" s="59">
        <f t="shared" si="52"/>
        <v>147.46995307968473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27.876566347310177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6.0897301853504726E-3</v>
      </c>
      <c r="HJ46" s="22">
        <f t="shared" si="30"/>
        <v>27.882656077495529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5.6</v>
      </c>
      <c r="N47" s="13">
        <f>IF('Données projet'!$A$36&gt;35,N46+M47-V46,IF(A47&lt;'Données projet'!$A$36,$K$205^A47,IF(A47='Données projet'!$A$36,'Données projet'!$B$36,N46+M47-V46)))</f>
        <v>101.39999999999999</v>
      </c>
      <c r="O47" s="13">
        <f>N47*VLOOKUP('Données projet'!$B$9,Paramètres!$A$1:$I$89,3,0)*VLOOKUP('Données projet'!$B$9,Paramètres!$A$1:$I$89,5,0)</f>
        <v>91.746719999999982</v>
      </c>
      <c r="P47" s="13">
        <f t="shared" si="33"/>
        <v>24.986019358738364</v>
      </c>
      <c r="Q47" s="20">
        <f t="shared" si="53"/>
        <v>203.30952104980258</v>
      </c>
      <c r="R47" s="59">
        <f t="shared" si="0"/>
        <v>496.6428543831359</v>
      </c>
      <c r="S47" s="59">
        <f ca="1">AVERAGE(OFFSET($R$3,0,0,'Données projet'!$E$9+1,1))-AVERAGE(OFFSET($H$3,0,0,'Données projet'!$E$9+1,1))</f>
        <v>138.8931001150624</v>
      </c>
      <c r="T47" s="59">
        <f t="shared" si="34"/>
        <v>48.964659354096625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7.2</v>
      </c>
      <c r="AI47" s="13">
        <f>IF('Données projet'!$A$62&gt;35,AI46+AH47-AQ46,IF(A47&lt;'Données projet'!$A$62,$AF$205^A47,IF(A47='Données projet'!$A$62,'Données projet'!$B$62,AI46+AH47-AQ46)))</f>
        <v>170.79999999999981</v>
      </c>
      <c r="AJ47" s="13">
        <f>AI47*VLOOKUP('Données projet'!$B$10,Paramètres!$A$1:$I$89,3,0)*VLOOKUP('Données projet'!$B$10,Paramètres!$A$1:$I$89,5,0)</f>
        <v>149.21087999999986</v>
      </c>
      <c r="AK47" s="13">
        <f t="shared" si="35"/>
        <v>38.399200254302187</v>
      </c>
      <c r="AL47" s="20">
        <f t="shared" si="4"/>
        <v>326.754223109576</v>
      </c>
      <c r="AM47" s="59">
        <f t="shared" si="5"/>
        <v>620.08755644290932</v>
      </c>
      <c r="AN47" s="59">
        <f ca="1">AVERAGE(OFFSET($AM$3,0,0,'Données projet'!$E$10+1,1))-AVERAGE(OFFSET($H$3,0,0,'Données projet'!$E$10+1,1))</f>
        <v>191.94797389630673</v>
      </c>
      <c r="AO47" s="59">
        <f t="shared" si="36"/>
        <v>273.52540822767878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9.5288912524303306</v>
      </c>
      <c r="AW47" s="21">
        <f>EXP(-LN(2)/2)*AW46+(1-EXP(-LN(2)/2))/(LN(2)/2)*AQ47*AT47*VLOOKUP('Données projet'!$B$10,Paramètres!$A$1:$I$89,3,0)*0.475*44/12</f>
        <v>0.18127392905991699</v>
      </c>
      <c r="AX47" s="21">
        <f t="shared" si="6"/>
        <v>11.661392566480178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9.5</v>
      </c>
      <c r="BD47" s="12">
        <f>IF('Données projet'!$A$88&gt;35,BD46+BC47-BL46,IF(A47&lt;'Données projet'!$A$88,$BA$205^A47,IF(A47='Données projet'!$A$88,'Données projet'!$B$88,BD46+BC47-BL46)))</f>
        <v>216.00000000000006</v>
      </c>
      <c r="BE47" s="13">
        <f>BD47*VLOOKUP('Données projet'!$B$11,Paramètres!$A$1:$I$89,3,0)*VLOOKUP('Données projet'!$B$11,Paramètres!$A$1:$I$89,5,0)</f>
        <v>134.78400000000002</v>
      </c>
      <c r="BF47" s="13">
        <f t="shared" si="37"/>
        <v>35.099465485142126</v>
      </c>
      <c r="BG47" s="20">
        <f t="shared" si="7"/>
        <v>295.88036905328926</v>
      </c>
      <c r="BH47" s="59">
        <f t="shared" si="8"/>
        <v>589.21370238662257</v>
      </c>
      <c r="BI47" s="59">
        <f ca="1">AVERAGE(OFFSET($BH$3,0,0,'Données projet'!$E$11+1,1))-AVERAGE(OFFSET($H$3,0,0,'Données projet'!$E$11+1,1))</f>
        <v>162.91481796710048</v>
      </c>
      <c r="BJ47" s="59">
        <f t="shared" si="38"/>
        <v>182.56192390367823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2.1078525389238538</v>
      </c>
      <c r="BQ47" s="21">
        <f>EXP(-LN(2)/25)*BQ46+(1-EXP(-LN(2)/25))/(LN(2)/25)*Calculateur!BL47*Calculateur!BN47*VLOOKUP('Données projet'!$B$11,Paramètres!$A$1:$I$89,3,0)*0.475*44/12</f>
        <v>10.363505933876977</v>
      </c>
      <c r="BR47" s="21">
        <f>EXP(-LN(2)/2)*BR46+(1-EXP(-LN(2)/2))/(LN(2)/2)*BL47*BO47*VLOOKUP('Données projet'!$B$11,Paramètres!$A$1:$I$89,3,0)*0.475*44/12</f>
        <v>0.1403884016066986</v>
      </c>
      <c r="BS47" s="22">
        <f t="shared" si="9"/>
        <v>12.61174687440753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7.0000000000000027</v>
      </c>
      <c r="BY47" s="12">
        <f>IF('Données projet'!$A$114&gt;35,BY46+BX47-CG46,IF(A47&lt;'Données projet'!$A$114,$BV$205^A47,IF(A47='Données projet'!$A$114,'Données projet'!$B$114,BY46+BX47-CG46)))</f>
        <v>199.39999999999998</v>
      </c>
      <c r="BZ47" s="13">
        <f>BY47*VLOOKUP('Données projet'!$B$12,Paramètres!$A$1:$I$89,3,0)*VLOOKUP('Données projet'!$B$12,Paramètres!$A$1:$I$89,5,0)</f>
        <v>93.319199999999995</v>
      </c>
      <c r="CA47" s="13">
        <f t="shared" si="39"/>
        <v>25.364041009510686</v>
      </c>
      <c r="CB47" s="20">
        <f t="shared" si="10"/>
        <v>206.70664475823108</v>
      </c>
      <c r="CC47" s="59">
        <f t="shared" si="11"/>
        <v>500.03997809156442</v>
      </c>
      <c r="CD47" s="59">
        <f ca="1">AVERAGE(OFFSET($CC$3,0,0,'Données projet'!$E$12+1,1))-AVERAGE(OFFSET($H$3,0,0,'Données projet'!$E$12+1,1))</f>
        <v>123.60520571614535</v>
      </c>
      <c r="CE47" s="59">
        <f t="shared" si="40"/>
        <v>119.00926870519527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0.65729241001710403</v>
      </c>
      <c r="CL47" s="21">
        <f>EXP(-LN(2)/25)*CL46+(1-EXP(-LN(2)/25))/(LN(2)/25)*Calculateur!CG47*Calculateur!CI47*VLOOKUP('Données projet'!$B$12,Paramètres!$A$1:$I$89,3,0)*0.475*44/12</f>
        <v>3.2400854248415607</v>
      </c>
      <c r="CM47" s="21">
        <f>EXP(-LN(2)/2)*CM46+(1-EXP(-LN(2)/2))/(LN(2)/2)*CG47*CJ47*VLOOKUP('Données projet'!$B$12,Paramètres!$A$1:$I$89,3,0)*0.475*44/12</f>
        <v>4.7763363211582387E-2</v>
      </c>
      <c r="CN47" s="22">
        <f t="shared" si="12"/>
        <v>3.9451411980702469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105.98328000000001</v>
      </c>
      <c r="CV47" s="13">
        <f t="shared" si="41"/>
        <v>28.382574904673611</v>
      </c>
      <c r="CW47" s="20">
        <f t="shared" si="13"/>
        <v>234.02053062563991</v>
      </c>
      <c r="CX47" s="59">
        <f t="shared" si="14"/>
        <v>527.35386395897319</v>
      </c>
      <c r="CY47" s="59">
        <f ca="1">AVERAGE(OFFSET($CX$3,0,0,'Données projet'!$E$13+1,1))-AVERAGE(OFFSET($H$3,0,0,'Données projet'!$E$13+1,1))</f>
        <v>177.94336949486529</v>
      </c>
      <c r="CZ47" s="59">
        <f t="shared" si="42"/>
        <v>65.559373432574603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10.7</v>
      </c>
      <c r="DO47" s="12">
        <f>IF('Données projet'!$A$166&gt;35,DO46+DN47-DW46,IF(A47&lt;'Données projet'!$A$166,$DL$205^A47,IF(A47='Données projet'!$A$166,'Données projet'!$B$166,DO46+DN47-DW46)))</f>
        <v>219.79999999999993</v>
      </c>
      <c r="DP47" s="17">
        <f>DO47*VLOOKUP('Données projet'!$B$14,Paramètres!$A$1:$I$89,3,0)*VLOOKUP('Données projet'!$B$14,Paramètres!$A$1:$I$89,5,0)</f>
        <v>131.44039999999998</v>
      </c>
      <c r="DQ47" s="13">
        <f t="shared" si="43"/>
        <v>34.328979730885372</v>
      </c>
      <c r="DR47" s="20">
        <f t="shared" si="16"/>
        <v>288.71500303129199</v>
      </c>
      <c r="DS47" s="59">
        <f t="shared" si="17"/>
        <v>582.04833636462536</v>
      </c>
      <c r="DT47" s="59">
        <f ca="1">AVERAGE(OFFSET($DS$3,0,0,'Données projet'!$E$14+1,1))-AVERAGE(OFFSET($H$3,0,0,'Données projet'!$E$14+1,1))</f>
        <v>165.39579887388538</v>
      </c>
      <c r="DU47" s="59">
        <f t="shared" si="44"/>
        <v>155.89639262545802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4.9443107635314467</v>
      </c>
      <c r="EC47" s="21">
        <f>EXP(-LN(2)/2)*EC46+(1-EXP(-LN(2)/2))/(LN(2)/2)*DW47*DZ47*VLOOKUP('Données projet'!$B$14,Paramètres!$A$1:$I$89,3,0)*0.475*44/12</f>
        <v>0.10843777918263243</v>
      </c>
      <c r="ED47" s="22">
        <f t="shared" si="18"/>
        <v>5.0527485427140792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19.2</v>
      </c>
      <c r="EJ47" s="12">
        <f>IF('Données projet'!$A$192&gt;35,EJ46+EI47-ER46,IF(A47&lt;'Données projet'!$A$192,$EG$205^A47,IF(A47='Données projet'!$A$192,'Données projet'!$B$192,EJ46+EI47-ER46)))</f>
        <v>374.79999999999984</v>
      </c>
      <c r="EK47" s="17">
        <f>EJ47*VLOOKUP('Données projet'!$B$15,Paramètres!$A$1:$I$89,3,0)*VLOOKUP('Données projet'!$B$15,Paramètres!$A$1:$I$89,5,0)</f>
        <v>180.2787999999999</v>
      </c>
      <c r="EL47" s="13">
        <f t="shared" si="45"/>
        <v>45.384208441676606</v>
      </c>
      <c r="EM47" s="20">
        <f t="shared" si="19"/>
        <v>393.02973970258654</v>
      </c>
      <c r="EN47" s="59">
        <f t="shared" si="20"/>
        <v>686.3630730359198</v>
      </c>
      <c r="EO47" s="59">
        <f ca="1">AVERAGE(OFFSET($EN$3,0,0,'Données projet'!$E$15+1,1))-AVERAGE(OFFSET($H$3,0,0,'Données projet'!$E$15+1,1))</f>
        <v>252.30925789500111</v>
      </c>
      <c r="EP47" s="59">
        <f t="shared" si="46"/>
        <v>213.96033794804805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3.5107350508787576</v>
      </c>
      <c r="EW47" s="21">
        <f>EXP(-LN(2)/25)*EW46+(1-EXP(-LN(2)/25))/(LN(2)/25)*Calculateur!ER47*Calculateur!ET47*VLOOKUP('Données projet'!$B$15,Paramètres!$A$1:$I$89,3,0)*0.475*44/12</f>
        <v>6.2596477308816647</v>
      </c>
      <c r="EX47" s="21">
        <f>EXP(-LN(2)/2)*EX46+(1-EXP(-LN(2)/2))/(LN(2)/2)*ER47*EU47*VLOOKUP('Données projet'!$B$15,Paramètres!$A$1:$I$89,3,0)*0.475*44/12</f>
        <v>0.11232452036648506</v>
      </c>
      <c r="EY47" s="22">
        <f t="shared" si="21"/>
        <v>9.8827073021269065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19.2</v>
      </c>
      <c r="FE47" s="12">
        <f>IF('Données projet'!$A$218&gt;35,FE46+FD47-FM46,IF(A47&lt;'Données projet'!$A$218,$FB$205^A47,IF(A47='Données projet'!$A$218,'Données projet'!$B$218,FE46+FD47-FM46)))</f>
        <v>374.79999999999984</v>
      </c>
      <c r="FF47" s="17">
        <f>FE47*VLOOKUP('Données projet'!$B$16,Paramètres!$A$1:$I$89,3,0)*VLOOKUP('Données projet'!$B$16,Paramètres!$A$1:$I$89,5,0)</f>
        <v>180.2787999999999</v>
      </c>
      <c r="FG47" s="13">
        <f t="shared" si="47"/>
        <v>45.384208441676606</v>
      </c>
      <c r="FH47" s="20">
        <f t="shared" si="22"/>
        <v>393.02973970258654</v>
      </c>
      <c r="FI47" s="59">
        <f t="shared" si="23"/>
        <v>686.3630730359198</v>
      </c>
      <c r="FJ47" s="59">
        <f ca="1">AVERAGE(OFFSET($FI$3,0,0,'Données projet'!$E$16+1,1))-AVERAGE(OFFSET($H$3,0,0,'Données projet'!$E$16+1,1))</f>
        <v>252.30925789500111</v>
      </c>
      <c r="FK47" s="59">
        <f t="shared" si="48"/>
        <v>213.96033794804805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3.5107350508787576</v>
      </c>
      <c r="FR47" s="21">
        <f>EXP(-LN(2)/25)*FR46+(1-EXP(-LN(2)/25))/(LN(2)/25)*Calculateur!FM47*Calculateur!FO47*VLOOKUP('Données projet'!$B$16,Paramètres!$A$1:$I$89,3,0)*0.475*44/12</f>
        <v>6.2596477308816647</v>
      </c>
      <c r="FS47" s="21">
        <f>EXP(-LN(2)/2)*FS46+(1-EXP(-LN(2)/2))/(LN(2)/2)*FM47*FP47*VLOOKUP('Données projet'!$B$16,Paramètres!$A$1:$I$89,3,0)*0.475*44/12</f>
        <v>0.11232452036648506</v>
      </c>
      <c r="FT47" s="22">
        <f t="shared" si="24"/>
        <v>9.8827073021269065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7.333333333333333</v>
      </c>
      <c r="FZ47" s="12">
        <f>IF('Données projet'!$A$244&gt;35,FZ46+FY47-GH46,IF(A47&lt;'Données projet'!$A$244,$FW$205^A47,IF(A47='Données projet'!$A$244,'Données projet'!$B$244,FZ46+FY47-GH46)))</f>
        <v>213.33333333333331</v>
      </c>
      <c r="GA47" s="17">
        <f>FZ47*VLOOKUP('Données projet'!$B$17,Paramètres!$A$1:$I$89,3,0)*VLOOKUP('Données projet'!$B$17,Paramètres!$A$1:$I$89,5,0)</f>
        <v>127.57333333333332</v>
      </c>
      <c r="GB47" s="13">
        <f t="shared" si="49"/>
        <v>33.435014461818334</v>
      </c>
      <c r="GC47" s="20">
        <f t="shared" si="25"/>
        <v>280.42287240988907</v>
      </c>
      <c r="GD47" s="59">
        <f t="shared" si="26"/>
        <v>573.75620574322238</v>
      </c>
      <c r="GE47" s="59">
        <f ca="1">AVERAGE(OFFSET($GD$3,0,0,'Données projet'!$E$17+1,1))-AVERAGE(OFFSET($H$3,0,0,'Données projet'!$E$17+1,1))</f>
        <v>117.54638373164624</v>
      </c>
      <c r="GF47" s="59">
        <f t="shared" si="50"/>
        <v>133.0740262536583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1.6766088820437905</v>
      </c>
      <c r="GM47" s="21">
        <f>EXP(-LN(2)/25)*GM46+(1-EXP(-LN(2)/25))/(LN(2)/25)*Calculateur!GH47*Calculateur!GJ47*VLOOKUP('Données projet'!$B$17,Paramètres!$A$1:$I$89,3,0)*0.475*44/12</f>
        <v>5.8711048846212694</v>
      </c>
      <c r="GN47" s="21">
        <f>EXP(-LN(2)/2)*GN46+(1-EXP(-LN(2)/2))/(LN(2)/2)*GH47*GK47*VLOOKUP('Données projet'!$B$17,Paramètres!$A$1:$I$89,3,0)*0.475*44/12</f>
        <v>3.1605645395913595E-2</v>
      </c>
      <c r="GO47" s="21">
        <f t="shared" si="27"/>
        <v>7.5793194120609737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2.8421709430404007E-14</v>
      </c>
      <c r="GV47" s="17">
        <f>GU47*VLOOKUP('Données projet'!$B$18,Paramètres!$A$1:$I$89,3,0)*VLOOKUP('Données projet'!$B$18,Paramètres!$A$1:$I$89,5,0)</f>
        <v>1.3567387213697657E-14</v>
      </c>
      <c r="GW47" s="13">
        <f t="shared" si="51"/>
        <v>2.5717320947985821E-13</v>
      </c>
      <c r="GX47" s="20">
        <f t="shared" si="28"/>
        <v>4.7153987257460977E-13</v>
      </c>
      <c r="GY47" s="59">
        <f t="shared" si="29"/>
        <v>293.33333333333377</v>
      </c>
      <c r="GZ47" s="59">
        <f ca="1">AVERAGE(OFFSET($GY$3,0,0,'Données projet'!$E$18+1,1))-AVERAGE(OFFSET($H$3,0,0,'Données projet'!$E$18+1,1))</f>
        <v>43.147469606759159</v>
      </c>
      <c r="HA47" s="59">
        <f t="shared" si="52"/>
        <v>147.46995307968473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27.329923884265988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4.30608950965773E-3</v>
      </c>
      <c r="HJ47" s="22">
        <f t="shared" si="30"/>
        <v>27.334229973775646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5.6</v>
      </c>
      <c r="N48" s="13">
        <f>IF('Données projet'!$A$36&gt;35,N47+M48-V47,IF(A48&lt;'Données projet'!$A$36,$K$205^A48,IF(A48='Données projet'!$A$36,'Données projet'!$B$36,N47+M48-V47)))</f>
        <v>106.99999999999999</v>
      </c>
      <c r="O48" s="13">
        <f>N48*VLOOKUP('Données projet'!$B$9,Paramètres!$A$1:$I$89,3,0)*VLOOKUP('Données projet'!$B$9,Paramètres!$A$1:$I$89,5,0)</f>
        <v>96.81359999999998</v>
      </c>
      <c r="P48" s="13">
        <f t="shared" si="33"/>
        <v>26.201456938925315</v>
      </c>
      <c r="Q48" s="20">
        <f t="shared" si="53"/>
        <v>214.25122416862823</v>
      </c>
      <c r="R48" s="59">
        <f t="shared" si="0"/>
        <v>507.58455750196151</v>
      </c>
      <c r="S48" s="59">
        <f ca="1">AVERAGE(OFFSET($R$3,0,0,'Données projet'!$E$9+1,1))-AVERAGE(OFFSET($H$3,0,0,'Données projet'!$E$9+1,1))</f>
        <v>138.8931001150624</v>
      </c>
      <c r="T48" s="59">
        <f t="shared" si="34"/>
        <v>48.964659354096625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7.2</v>
      </c>
      <c r="AI48" s="13">
        <f>IF('Données projet'!$A$62&gt;35,AI47+AH48-AQ47,IF(A48&lt;'Données projet'!$A$62,$AF$205^A48,IF(A48='Données projet'!$A$62,'Données projet'!$B$62,AI47+AH48-AQ47)))</f>
        <v>177.9999999999998</v>
      </c>
      <c r="AJ48" s="13">
        <f>AI48*VLOOKUP('Données projet'!$B$10,Paramètres!$A$1:$I$89,3,0)*VLOOKUP('Données projet'!$B$10,Paramètres!$A$1:$I$89,5,0)</f>
        <v>155.50079999999983</v>
      </c>
      <c r="AK48" s="13">
        <f t="shared" si="35"/>
        <v>39.826029828200298</v>
      </c>
      <c r="AL48" s="20">
        <f t="shared" si="4"/>
        <v>340.19422861744857</v>
      </c>
      <c r="AM48" s="59">
        <f t="shared" si="5"/>
        <v>633.52756195078189</v>
      </c>
      <c r="AN48" s="59">
        <f ca="1">AVERAGE(OFFSET($AM$3,0,0,'Données projet'!$E$10+1,1))-AVERAGE(OFFSET($H$3,0,0,'Données projet'!$E$10+1,1))</f>
        <v>191.94797389630673</v>
      </c>
      <c r="AO48" s="59">
        <f t="shared" si="36"/>
        <v>273.52540822767878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9.2683232200300107</v>
      </c>
      <c r="AW48" s="21">
        <f>EXP(-LN(2)/2)*AW47+(1-EXP(-LN(2)/2))/(LN(2)/2)*AQ48*AT48*VLOOKUP('Données projet'!$B$10,Paramètres!$A$1:$I$89,3,0)*0.475*44/12</f>
        <v>0.12818002449059646</v>
      </c>
      <c r="AX48" s="21">
        <f t="shared" si="6"/>
        <v>11.309468250622075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9.5</v>
      </c>
      <c r="BD48" s="12">
        <f>IF('Données projet'!$A$88&gt;35,BD47+BC48-BL47,IF(A48&lt;'Données projet'!$A$88,$BA$205^A48,IF(A48='Données projet'!$A$88,'Données projet'!$B$88,BD47+BC48-BL47)))</f>
        <v>225.50000000000006</v>
      </c>
      <c r="BE48" s="13">
        <f>BD48*VLOOKUP('Données projet'!$B$11,Paramètres!$A$1:$I$89,3,0)*VLOOKUP('Données projet'!$B$11,Paramètres!$A$1:$I$89,5,0)</f>
        <v>140.71200000000005</v>
      </c>
      <c r="BF48" s="13">
        <f t="shared" si="37"/>
        <v>36.460066509440779</v>
      </c>
      <c r="BG48" s="20">
        <f t="shared" si="7"/>
        <v>308.57468250394271</v>
      </c>
      <c r="BH48" s="59">
        <f t="shared" si="8"/>
        <v>601.90801583727603</v>
      </c>
      <c r="BI48" s="59">
        <f ca="1">AVERAGE(OFFSET($BH$3,0,0,'Données projet'!$E$11+1,1))-AVERAGE(OFFSET($H$3,0,0,'Données projet'!$E$11+1,1))</f>
        <v>162.91481796710048</v>
      </c>
      <c r="BJ48" s="59">
        <f t="shared" si="38"/>
        <v>182.56192390367823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2.0665188362986573</v>
      </c>
      <c r="BQ48" s="21">
        <f>EXP(-LN(2)/25)*BQ47+(1-EXP(-LN(2)/25))/(LN(2)/25)*Calculateur!BL48*Calculateur!BN48*VLOOKUP('Données projet'!$B$11,Paramètres!$A$1:$I$89,3,0)*0.475*44/12</f>
        <v>10.080115319122021</v>
      </c>
      <c r="BR48" s="21">
        <f>EXP(-LN(2)/2)*BR47+(1-EXP(-LN(2)/2))/(LN(2)/2)*BL48*BO48*VLOOKUP('Données projet'!$B$11,Paramètres!$A$1:$I$89,3,0)*0.475*44/12</f>
        <v>9.9269590776036989E-2</v>
      </c>
      <c r="BS48" s="22">
        <f t="shared" si="9"/>
        <v>12.245903746196715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7.0000000000000027</v>
      </c>
      <c r="BY48" s="12">
        <f>IF('Données projet'!$A$114&gt;35,BY47+BX48-CG47,IF(A48&lt;'Données projet'!$A$114,$BV$205^A48,IF(A48='Données projet'!$A$114,'Données projet'!$B$114,BY47+BX48-CG47)))</f>
        <v>206.39999999999998</v>
      </c>
      <c r="BZ48" s="13">
        <f>BY48*VLOOKUP('Données projet'!$B$12,Paramètres!$A$1:$I$89,3,0)*VLOOKUP('Données projet'!$B$12,Paramètres!$A$1:$I$89,5,0)</f>
        <v>96.595199999999991</v>
      </c>
      <c r="CA48" s="13">
        <f t="shared" si="39"/>
        <v>26.149222795600728</v>
      </c>
      <c r="CB48" s="20">
        <f t="shared" si="10"/>
        <v>213.77986970233792</v>
      </c>
      <c r="CC48" s="59">
        <f t="shared" si="11"/>
        <v>507.11320303567123</v>
      </c>
      <c r="CD48" s="59">
        <f ca="1">AVERAGE(OFFSET($CC$3,0,0,'Données projet'!$E$12+1,1))-AVERAGE(OFFSET($H$3,0,0,'Données projet'!$E$12+1,1))</f>
        <v>123.60520571614535</v>
      </c>
      <c r="CE48" s="59">
        <f t="shared" si="40"/>
        <v>119.00926870519527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0.64440330676545232</v>
      </c>
      <c r="CL48" s="21">
        <f>EXP(-LN(2)/25)*CL47+(1-EXP(-LN(2)/25))/(LN(2)/25)*Calculateur!CG48*Calculateur!CI48*VLOOKUP('Données projet'!$B$12,Paramètres!$A$1:$I$89,3,0)*0.475*44/12</f>
        <v>3.151485118510581</v>
      </c>
      <c r="CM48" s="21">
        <f>EXP(-LN(2)/2)*CM47+(1-EXP(-LN(2)/2))/(LN(2)/2)*CG48*CJ48*VLOOKUP('Données projet'!$B$12,Paramètres!$A$1:$I$89,3,0)*0.475*44/12</f>
        <v>3.377379801918598E-2</v>
      </c>
      <c r="CN48" s="22">
        <f t="shared" si="12"/>
        <v>3.8296622232952191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111.8364</v>
      </c>
      <c r="CV48" s="13">
        <f t="shared" si="41"/>
        <v>29.763236932758819</v>
      </c>
      <c r="CW48" s="20">
        <f t="shared" si="13"/>
        <v>246.61936765788826</v>
      </c>
      <c r="CX48" s="59">
        <f t="shared" si="14"/>
        <v>539.9527009912216</v>
      </c>
      <c r="CY48" s="59">
        <f ca="1">AVERAGE(OFFSET($CX$3,0,0,'Données projet'!$E$13+1,1))-AVERAGE(OFFSET($H$3,0,0,'Données projet'!$E$13+1,1))</f>
        <v>177.94336949486529</v>
      </c>
      <c r="CZ48" s="59">
        <f t="shared" si="42"/>
        <v>65.559373432574603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10.7</v>
      </c>
      <c r="DO48" s="12">
        <f>IF('Données projet'!$A$166&gt;35,DO47+DN48-DW47,IF(A48&lt;'Données projet'!$A$166,$DL$205^A48,IF(A48='Données projet'!$A$166,'Données projet'!$B$166,DO47+DN48-DW47)))</f>
        <v>230.49999999999991</v>
      </c>
      <c r="DP48" s="17">
        <f>DO48*VLOOKUP('Données projet'!$B$14,Paramètres!$A$1:$I$89,3,0)*VLOOKUP('Données projet'!$B$14,Paramètres!$A$1:$I$89,5,0)</f>
        <v>137.83899999999994</v>
      </c>
      <c r="DQ48" s="13">
        <f t="shared" si="43"/>
        <v>35.80150342838742</v>
      </c>
      <c r="DR48" s="20">
        <f t="shared" si="16"/>
        <v>302.42387680444131</v>
      </c>
      <c r="DS48" s="59">
        <f t="shared" si="17"/>
        <v>595.75721013777456</v>
      </c>
      <c r="DT48" s="59">
        <f ca="1">AVERAGE(OFFSET($DS$3,0,0,'Données projet'!$E$14+1,1))-AVERAGE(OFFSET($H$3,0,0,'Données projet'!$E$14+1,1))</f>
        <v>165.39579887388538</v>
      </c>
      <c r="DU48" s="59">
        <f t="shared" si="44"/>
        <v>155.89639262545802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4.8091083256926765</v>
      </c>
      <c r="EC48" s="21">
        <f>EXP(-LN(2)/2)*EC47+(1-EXP(-LN(2)/2))/(LN(2)/2)*DW48*DZ48*VLOOKUP('Données projet'!$B$14,Paramètres!$A$1:$I$89,3,0)*0.475*44/12</f>
        <v>7.667708899684883E-2</v>
      </c>
      <c r="ED48" s="22">
        <f t="shared" si="18"/>
        <v>4.8857854146895257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19.2</v>
      </c>
      <c r="EJ48" s="12">
        <f>IF('Données projet'!$A$192&gt;35,EJ47+EI48-ER47,IF(A48&lt;'Données projet'!$A$192,$EG$205^A48,IF(A48='Données projet'!$A$192,'Données projet'!$B$192,EJ47+EI48-ER47)))</f>
        <v>393.99999999999983</v>
      </c>
      <c r="EK48" s="17">
        <f>EJ48*VLOOKUP('Données projet'!$B$15,Paramètres!$A$1:$I$89,3,0)*VLOOKUP('Données projet'!$B$15,Paramètres!$A$1:$I$89,5,0)</f>
        <v>189.51399999999992</v>
      </c>
      <c r="EL48" s="13">
        <f t="shared" si="45"/>
        <v>47.432489140630921</v>
      </c>
      <c r="EM48" s="20">
        <f t="shared" si="19"/>
        <v>412.68180191993201</v>
      </c>
      <c r="EN48" s="59">
        <f t="shared" si="20"/>
        <v>706.01513525326527</v>
      </c>
      <c r="EO48" s="59">
        <f ca="1">AVERAGE(OFFSET($EN$3,0,0,'Données projet'!$E$15+1,1))-AVERAGE(OFFSET($H$3,0,0,'Données projet'!$E$15+1,1))</f>
        <v>252.30925789500111</v>
      </c>
      <c r="EP48" s="59">
        <f t="shared" si="46"/>
        <v>213.96033794804805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3.4418916778679667</v>
      </c>
      <c r="EW48" s="21">
        <f>EXP(-LN(2)/25)*EW47+(1-EXP(-LN(2)/25))/(LN(2)/25)*Calculateur!ER48*Calculateur!ET48*VLOOKUP('Données projet'!$B$15,Paramètres!$A$1:$I$89,3,0)*0.475*44/12</f>
        <v>6.0884773345001379</v>
      </c>
      <c r="EX48" s="21">
        <f>EXP(-LN(2)/2)*EX47+(1-EXP(-LN(2)/2))/(LN(2)/2)*ER48*EU48*VLOOKUP('Données projet'!$B$15,Paramètres!$A$1:$I$89,3,0)*0.475*44/12</f>
        <v>7.9425430044668052E-2</v>
      </c>
      <c r="EY48" s="22">
        <f t="shared" si="21"/>
        <v>9.6097944424127739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19.2</v>
      </c>
      <c r="FE48" s="12">
        <f>IF('Données projet'!$A$218&gt;35,FE47+FD48-FM47,IF(A48&lt;'Données projet'!$A$218,$FB$205^A48,IF(A48='Données projet'!$A$218,'Données projet'!$B$218,FE47+FD48-FM47)))</f>
        <v>393.99999999999983</v>
      </c>
      <c r="FF48" s="17">
        <f>FE48*VLOOKUP('Données projet'!$B$16,Paramètres!$A$1:$I$89,3,0)*VLOOKUP('Données projet'!$B$16,Paramètres!$A$1:$I$89,5,0)</f>
        <v>189.51399999999992</v>
      </c>
      <c r="FG48" s="13">
        <f t="shared" si="47"/>
        <v>47.432489140630921</v>
      </c>
      <c r="FH48" s="20">
        <f t="shared" si="22"/>
        <v>412.68180191993201</v>
      </c>
      <c r="FI48" s="59">
        <f t="shared" si="23"/>
        <v>706.01513525326527</v>
      </c>
      <c r="FJ48" s="59">
        <f ca="1">AVERAGE(OFFSET($FI$3,0,0,'Données projet'!$E$16+1,1))-AVERAGE(OFFSET($H$3,0,0,'Données projet'!$E$16+1,1))</f>
        <v>252.30925789500111</v>
      </c>
      <c r="FK48" s="59">
        <f t="shared" si="48"/>
        <v>213.96033794804805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3.4418916778679667</v>
      </c>
      <c r="FR48" s="21">
        <f>EXP(-LN(2)/25)*FR47+(1-EXP(-LN(2)/25))/(LN(2)/25)*Calculateur!FM48*Calculateur!FO48*VLOOKUP('Données projet'!$B$16,Paramètres!$A$1:$I$89,3,0)*0.475*44/12</f>
        <v>6.0884773345001379</v>
      </c>
      <c r="FS48" s="21">
        <f>EXP(-LN(2)/2)*FS47+(1-EXP(-LN(2)/2))/(LN(2)/2)*FM48*FP48*VLOOKUP('Données projet'!$B$16,Paramètres!$A$1:$I$89,3,0)*0.475*44/12</f>
        <v>7.9425430044668052E-2</v>
      </c>
      <c r="FT48" s="22">
        <f t="shared" si="24"/>
        <v>9.6097944424127739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7.333333333333333</v>
      </c>
      <c r="FZ48" s="12">
        <f>IF('Données projet'!$A$244&gt;35,FZ47+FY48-GH47,IF(A48&lt;'Données projet'!$A$244,$FW$205^A48,IF(A48='Données projet'!$A$244,'Données projet'!$B$244,FZ47+FY48-GH47)))</f>
        <v>220.66666666666666</v>
      </c>
      <c r="GA48" s="17">
        <f>FZ48*VLOOKUP('Données projet'!$B$17,Paramètres!$A$1:$I$89,3,0)*VLOOKUP('Données projet'!$B$17,Paramètres!$A$1:$I$89,5,0)</f>
        <v>131.95866666666666</v>
      </c>
      <c r="GB48" s="13">
        <f t="shared" si="49"/>
        <v>34.448555031300216</v>
      </c>
      <c r="GC48" s="20">
        <f t="shared" si="25"/>
        <v>289.82591112395897</v>
      </c>
      <c r="GD48" s="59">
        <f t="shared" si="26"/>
        <v>583.15924445729229</v>
      </c>
      <c r="GE48" s="59">
        <f ca="1">AVERAGE(OFFSET($GD$3,0,0,'Données projet'!$E$17+1,1))-AVERAGE(OFFSET($H$3,0,0,'Données projet'!$E$17+1,1))</f>
        <v>117.54638373164624</v>
      </c>
      <c r="GF48" s="59">
        <f t="shared" si="50"/>
        <v>133.0740262536583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1.6437316044973536</v>
      </c>
      <c r="GM48" s="21">
        <f>EXP(-LN(2)/25)*GM47+(1-EXP(-LN(2)/25))/(LN(2)/25)*Calculateur!GH48*Calculateur!GJ48*VLOOKUP('Données projet'!$B$17,Paramètres!$A$1:$I$89,3,0)*0.475*44/12</f>
        <v>5.7105592128033136</v>
      </c>
      <c r="GN48" s="21">
        <f>EXP(-LN(2)/2)*GN47+(1-EXP(-LN(2)/2))/(LN(2)/2)*GH48*GK48*VLOOKUP('Données projet'!$B$17,Paramètres!$A$1:$I$89,3,0)*0.475*44/12</f>
        <v>2.2348566183227888E-2</v>
      </c>
      <c r="GO48" s="21">
        <f t="shared" si="27"/>
        <v>7.3766393834838944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2.8421709430404007E-14</v>
      </c>
      <c r="GV48" s="17">
        <f>GU48*VLOOKUP('Données projet'!$B$18,Paramètres!$A$1:$I$89,3,0)*VLOOKUP('Données projet'!$B$18,Paramètres!$A$1:$I$89,5,0)</f>
        <v>1.3567387213697657E-14</v>
      </c>
      <c r="GW48" s="13">
        <f t="shared" si="51"/>
        <v>2.5717320947985821E-13</v>
      </c>
      <c r="GX48" s="20">
        <f t="shared" si="28"/>
        <v>4.7153987257460977E-13</v>
      </c>
      <c r="GY48" s="59">
        <f t="shared" si="29"/>
        <v>293.33333333333377</v>
      </c>
      <c r="GZ48" s="59">
        <f ca="1">AVERAGE(OFFSET($GY$3,0,0,'Données projet'!$E$18+1,1))-AVERAGE(OFFSET($H$3,0,0,'Données projet'!$E$18+1,1))</f>
        <v>43.147469606759159</v>
      </c>
      <c r="HA48" s="59">
        <f t="shared" si="52"/>
        <v>147.46995307968473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26.794000746503112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3.0448650926752363E-3</v>
      </c>
      <c r="HJ48" s="22">
        <f t="shared" si="30"/>
        <v>26.797045611595788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112.59999999999998</v>
      </c>
      <c r="O49" s="13">
        <f>N49*VLOOKUP('Données projet'!$B$9,Paramètres!$A$1:$I$89,3,0)*VLOOKUP('Données projet'!$B$9,Paramètres!$A$1:$I$89,5,0)</f>
        <v>101.88047999999996</v>
      </c>
      <c r="P49" s="13">
        <f t="shared" si="33"/>
        <v>27.409509067425631</v>
      </c>
      <c r="Q49" s="20">
        <f t="shared" si="53"/>
        <v>225.18006429243292</v>
      </c>
      <c r="R49" s="59">
        <f t="shared" si="0"/>
        <v>518.51339762576617</v>
      </c>
      <c r="S49" s="59">
        <f ca="1">AVERAGE(OFFSET($R$3,0,0,'Données projet'!$E$9+1,1))-AVERAGE(OFFSET($H$3,0,0,'Données projet'!$E$9+1,1))</f>
        <v>138.8931001150624</v>
      </c>
      <c r="T49" s="59">
        <f t="shared" si="34"/>
        <v>48.964659354096625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185.19999999999979</v>
      </c>
      <c r="AJ49" s="13">
        <f>AI49*VLOOKUP('Données projet'!$B$10,Paramètres!$A$1:$I$89,3,0)*VLOOKUP('Données projet'!$B$10,Paramètres!$A$1:$I$89,5,0)</f>
        <v>161.79071999999982</v>
      </c>
      <c r="AK49" s="13">
        <f t="shared" si="35"/>
        <v>41.246155299147965</v>
      </c>
      <c r="AL49" s="20">
        <f t="shared" si="4"/>
        <v>353.62255781268237</v>
      </c>
      <c r="AM49" s="59">
        <f t="shared" si="5"/>
        <v>646.95589114601569</v>
      </c>
      <c r="AN49" s="59">
        <f ca="1">AVERAGE(OFFSET($AM$3,0,0,'Données projet'!$E$10+1,1))-AVERAGE(OFFSET($H$3,0,0,'Données projet'!$E$10+1,1))</f>
        <v>191.94797389630673</v>
      </c>
      <c r="AO49" s="59">
        <f t="shared" si="36"/>
        <v>273.52540822767878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9.0148804341783553</v>
      </c>
      <c r="AW49" s="21">
        <f>EXP(-LN(2)/2)*AW48+(1-EXP(-LN(2)/2))/(LN(2)/2)*AQ49*AT49*VLOOKUP('Données projet'!$B$10,Paramètres!$A$1:$I$89,3,0)*0.475*44/12</f>
        <v>9.0636964529958494E-2</v>
      </c>
      <c r="AX49" s="21">
        <f t="shared" si="6"/>
        <v>10.980970327833573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9.5</v>
      </c>
      <c r="BD49" s="12">
        <f>IF('Données projet'!$A$88&gt;35,BD48+BC49-BL48,IF(A49&lt;'Données projet'!$A$88,$BA$205^A49,IF(A49='Données projet'!$A$88,'Données projet'!$B$88,BD48+BC49-BL48)))</f>
        <v>235.00000000000006</v>
      </c>
      <c r="BE49" s="13">
        <f>BD49*VLOOKUP('Données projet'!$B$11,Paramètres!$A$1:$I$89,3,0)*VLOOKUP('Données projet'!$B$11,Paramètres!$A$1:$I$89,5,0)</f>
        <v>146.64000000000004</v>
      </c>
      <c r="BF49" s="13">
        <f t="shared" si="37"/>
        <v>37.814009712703054</v>
      </c>
      <c r="BG49" s="20">
        <f t="shared" si="7"/>
        <v>321.2574002496246</v>
      </c>
      <c r="BH49" s="59">
        <f t="shared" si="8"/>
        <v>614.59073358295791</v>
      </c>
      <c r="BI49" s="59">
        <f ca="1">AVERAGE(OFFSET($BH$3,0,0,'Données projet'!$E$11+1,1))-AVERAGE(OFFSET($H$3,0,0,'Données projet'!$E$11+1,1))</f>
        <v>162.91481796710048</v>
      </c>
      <c r="BJ49" s="59">
        <f t="shared" si="38"/>
        <v>182.56192390367823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2.0259956623708715</v>
      </c>
      <c r="BQ49" s="21">
        <f>EXP(-LN(2)/25)*BQ48+(1-EXP(-LN(2)/25))/(LN(2)/25)*Calculateur!BL49*Calculateur!BN49*VLOOKUP('Données projet'!$B$11,Paramètres!$A$1:$I$89,3,0)*0.475*44/12</f>
        <v>9.8044740356304025</v>
      </c>
      <c r="BR49" s="21">
        <f>EXP(-LN(2)/2)*BR48+(1-EXP(-LN(2)/2))/(LN(2)/2)*BL49*BO49*VLOOKUP('Données projet'!$B$11,Paramètres!$A$1:$I$89,3,0)*0.475*44/12</f>
        <v>7.0194200803349302E-2</v>
      </c>
      <c r="BS49" s="22">
        <f t="shared" si="9"/>
        <v>11.900663898804623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7.0000000000000027</v>
      </c>
      <c r="BY49" s="12">
        <f>IF('Données projet'!$A$114&gt;35,BY48+BX49-CG48,IF(A49&lt;'Données projet'!$A$114,$BV$205^A49,IF(A49='Données projet'!$A$114,'Données projet'!$B$114,BY48+BX49-CG48)))</f>
        <v>213.39999999999998</v>
      </c>
      <c r="BZ49" s="13">
        <f>BY49*VLOOKUP('Données projet'!$B$12,Paramètres!$A$1:$I$89,3,0)*VLOOKUP('Données projet'!$B$12,Paramètres!$A$1:$I$89,5,0)</f>
        <v>99.871199999999988</v>
      </c>
      <c r="CA49" s="13">
        <f t="shared" si="39"/>
        <v>26.931310423172796</v>
      </c>
      <c r="CB49" s="20">
        <f t="shared" si="10"/>
        <v>220.8477056536926</v>
      </c>
      <c r="CC49" s="59">
        <f t="shared" si="11"/>
        <v>514.18103898702589</v>
      </c>
      <c r="CD49" s="59">
        <f ca="1">AVERAGE(OFFSET($CC$3,0,0,'Données projet'!$E$12+1,1))-AVERAGE(OFFSET($H$3,0,0,'Données projet'!$E$12+1,1))</f>
        <v>123.60520571614535</v>
      </c>
      <c r="CE49" s="59">
        <f t="shared" si="40"/>
        <v>119.00926870519527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0.63176695096698876</v>
      </c>
      <c r="CL49" s="21">
        <f>EXP(-LN(2)/25)*CL48+(1-EXP(-LN(2)/25))/(LN(2)/25)*Calculateur!CG49*Calculateur!CI49*VLOOKUP('Données projet'!$B$12,Paramètres!$A$1:$I$89,3,0)*0.475*44/12</f>
        <v>3.0653075922155097</v>
      </c>
      <c r="CM49" s="21">
        <f>EXP(-LN(2)/2)*CM48+(1-EXP(-LN(2)/2))/(LN(2)/2)*CG49*CJ49*VLOOKUP('Données projet'!$B$12,Paramètres!$A$1:$I$89,3,0)*0.475*44/12</f>
        <v>2.3881681605791193E-2</v>
      </c>
      <c r="CN49" s="22">
        <f t="shared" si="12"/>
        <v>3.7209562247882899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112.59999999999998</v>
      </c>
      <c r="CU49" s="17">
        <f>CT49*VLOOKUP('Données projet'!$B$13,Paramètres!$A$1:$I$89,3,0)*VLOOKUP('Données projet'!$B$13,Paramètres!$A$1:$I$89,5,0)</f>
        <v>117.68951999999999</v>
      </c>
      <c r="CV49" s="13">
        <f t="shared" si="41"/>
        <v>31.135509543838769</v>
      </c>
      <c r="CW49" s="20">
        <f t="shared" si="13"/>
        <v>259.20359312218585</v>
      </c>
      <c r="CX49" s="59">
        <f t="shared" si="14"/>
        <v>552.53692645551916</v>
      </c>
      <c r="CY49" s="59">
        <f ca="1">AVERAGE(OFFSET($CX$3,0,0,'Données projet'!$E$13+1,1))-AVERAGE(OFFSET($H$3,0,0,'Données projet'!$E$13+1,1))</f>
        <v>177.94336949486529</v>
      </c>
      <c r="CZ49" s="59">
        <f t="shared" si="42"/>
        <v>65.559373432574603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10.7</v>
      </c>
      <c r="DO49" s="12">
        <f>IF('Données projet'!$A$166&gt;35,DO48+DN49-DW48,IF(A49&lt;'Données projet'!$A$166,$DL$205^A49,IF(A49='Données projet'!$A$166,'Données projet'!$B$166,DO48+DN49-DW48)))</f>
        <v>241.1999999999999</v>
      </c>
      <c r="DP49" s="17">
        <f>DO49*VLOOKUP('Données projet'!$B$14,Paramètres!$A$1:$I$89,3,0)*VLOOKUP('Données projet'!$B$14,Paramètres!$A$1:$I$89,5,0)</f>
        <v>144.23759999999996</v>
      </c>
      <c r="DQ49" s="13">
        <f t="shared" si="43"/>
        <v>37.266088962286922</v>
      </c>
      <c r="DR49" s="20">
        <f t="shared" si="16"/>
        <v>316.11892494264958</v>
      </c>
      <c r="DS49" s="59">
        <f t="shared" si="17"/>
        <v>609.4522582759829</v>
      </c>
      <c r="DT49" s="59">
        <f ca="1">AVERAGE(OFFSET($DS$3,0,0,'Données projet'!$E$14+1,1))-AVERAGE(OFFSET($H$3,0,0,'Données projet'!$E$14+1,1))</f>
        <v>165.39579887388538</v>
      </c>
      <c r="DU49" s="59">
        <f t="shared" si="44"/>
        <v>155.89639262545802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4.6776030056265947</v>
      </c>
      <c r="EC49" s="21">
        <f>EXP(-LN(2)/2)*EC48+(1-EXP(-LN(2)/2))/(LN(2)/2)*DW49*DZ49*VLOOKUP('Données projet'!$B$14,Paramètres!$A$1:$I$89,3,0)*0.475*44/12</f>
        <v>5.4218889591316217E-2</v>
      </c>
      <c r="ED49" s="22">
        <f t="shared" si="18"/>
        <v>4.7318218952179105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19.2</v>
      </c>
      <c r="EJ49" s="12">
        <f>IF('Données projet'!$A$192&gt;35,EJ48+EI49-ER48,IF(A49&lt;'Données projet'!$A$192,$EG$205^A49,IF(A49='Données projet'!$A$192,'Données projet'!$B$192,EJ48+EI49-ER48)))</f>
        <v>413.19999999999982</v>
      </c>
      <c r="EK49" s="17">
        <f>EJ49*VLOOKUP('Données projet'!$B$15,Paramètres!$A$1:$I$89,3,0)*VLOOKUP('Données projet'!$B$15,Paramètres!$A$1:$I$89,5,0)</f>
        <v>198.74919999999992</v>
      </c>
      <c r="EL49" s="13">
        <f t="shared" si="45"/>
        <v>49.469179455203339</v>
      </c>
      <c r="EM49" s="20">
        <f t="shared" si="19"/>
        <v>432.31367755114564</v>
      </c>
      <c r="EN49" s="59">
        <f t="shared" si="20"/>
        <v>725.64701088447896</v>
      </c>
      <c r="EO49" s="59">
        <f ca="1">AVERAGE(OFFSET($EN$3,0,0,'Données projet'!$E$15+1,1))-AVERAGE(OFFSET($H$3,0,0,'Données projet'!$E$15+1,1))</f>
        <v>252.30925789500111</v>
      </c>
      <c r="EP49" s="59">
        <f t="shared" si="46"/>
        <v>213.96033794804805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3.3743982814116062</v>
      </c>
      <c r="EW49" s="21">
        <f>EXP(-LN(2)/25)*EW48+(1-EXP(-LN(2)/25))/(LN(2)/25)*Calculateur!ER49*Calculateur!ET49*VLOOKUP('Données projet'!$B$15,Paramètres!$A$1:$I$89,3,0)*0.475*44/12</f>
        <v>5.921987601609124</v>
      </c>
      <c r="EX49" s="21">
        <f>EXP(-LN(2)/2)*EX48+(1-EXP(-LN(2)/2))/(LN(2)/2)*ER49*EU49*VLOOKUP('Données projet'!$B$15,Paramètres!$A$1:$I$89,3,0)*0.475*44/12</f>
        <v>5.6162260183242531E-2</v>
      </c>
      <c r="EY49" s="22">
        <f t="shared" si="21"/>
        <v>9.3525481432039719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19.2</v>
      </c>
      <c r="FE49" s="12">
        <f>IF('Données projet'!$A$218&gt;35,FE48+FD49-FM48,IF(A49&lt;'Données projet'!$A$218,$FB$205^A49,IF(A49='Données projet'!$A$218,'Données projet'!$B$218,FE48+FD49-FM48)))</f>
        <v>413.19999999999982</v>
      </c>
      <c r="FF49" s="17">
        <f>FE49*VLOOKUP('Données projet'!$B$16,Paramètres!$A$1:$I$89,3,0)*VLOOKUP('Données projet'!$B$16,Paramètres!$A$1:$I$89,5,0)</f>
        <v>198.74919999999992</v>
      </c>
      <c r="FG49" s="13">
        <f t="shared" si="47"/>
        <v>49.469179455203339</v>
      </c>
      <c r="FH49" s="20">
        <f t="shared" si="22"/>
        <v>432.31367755114564</v>
      </c>
      <c r="FI49" s="59">
        <f t="shared" si="23"/>
        <v>725.64701088447896</v>
      </c>
      <c r="FJ49" s="59">
        <f ca="1">AVERAGE(OFFSET($FI$3,0,0,'Données projet'!$E$16+1,1))-AVERAGE(OFFSET($H$3,0,0,'Données projet'!$E$16+1,1))</f>
        <v>252.30925789500111</v>
      </c>
      <c r="FK49" s="59">
        <f t="shared" si="48"/>
        <v>213.96033794804805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3.3743982814116062</v>
      </c>
      <c r="FR49" s="21">
        <f>EXP(-LN(2)/25)*FR48+(1-EXP(-LN(2)/25))/(LN(2)/25)*Calculateur!FM49*Calculateur!FO49*VLOOKUP('Données projet'!$B$16,Paramètres!$A$1:$I$89,3,0)*0.475*44/12</f>
        <v>5.921987601609124</v>
      </c>
      <c r="FS49" s="21">
        <f>EXP(-LN(2)/2)*FS48+(1-EXP(-LN(2)/2))/(LN(2)/2)*FM49*FP49*VLOOKUP('Données projet'!$B$16,Paramètres!$A$1:$I$89,3,0)*0.475*44/12</f>
        <v>5.6162260183242531E-2</v>
      </c>
      <c r="FT49" s="22">
        <f t="shared" si="24"/>
        <v>9.3525481432039719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>
        <f>VLOOKUP(A49,'Données projet'!$A$243:$I$263,2,0)</f>
        <v>228</v>
      </c>
      <c r="FX49" s="12">
        <f>VLOOKUP(A49,'Données projet'!$A$243:$I$263,9,0)</f>
        <v>7.333333333333333</v>
      </c>
      <c r="FY49" s="12">
        <f t="array" ref="FY49">INDEX(FX:FX,MIN(IF(ISNUMBER(FX49:FX245),ROW(FX49:FX245),"")))</f>
        <v>7.333333333333333</v>
      </c>
      <c r="FZ49" s="12">
        <f>IF('Données projet'!$A$244&gt;35,FZ48+FY49-GH48,IF(A49&lt;'Données projet'!$A$244,$FW$205^A49,IF(A49='Données projet'!$A$244,'Données projet'!$B$244,FZ48+FY49-GH48)))</f>
        <v>228</v>
      </c>
      <c r="GA49" s="17">
        <f>FZ49*VLOOKUP('Données projet'!$B$17,Paramètres!$A$1:$I$89,3,0)*VLOOKUP('Données projet'!$B$17,Paramètres!$A$1:$I$89,5,0)</f>
        <v>136.34400000000002</v>
      </c>
      <c r="GB49" s="13">
        <f t="shared" si="49"/>
        <v>35.458181756405082</v>
      </c>
      <c r="GC49" s="20">
        <f t="shared" si="25"/>
        <v>299.2221332257389</v>
      </c>
      <c r="GD49" s="59">
        <f t="shared" si="26"/>
        <v>592.55546655907222</v>
      </c>
      <c r="GE49" s="59">
        <f ca="1">AVERAGE(OFFSET($GD$3,0,0,'Données projet'!$E$17+1,1))-AVERAGE(OFFSET($H$3,0,0,'Données projet'!$E$17+1,1))</f>
        <v>117.54638373164624</v>
      </c>
      <c r="GF49" s="59">
        <f t="shared" si="50"/>
        <v>133.0740262536583</v>
      </c>
      <c r="GG49" s="15">
        <f>IF(ISNA(VLOOKUP(A49,'Données projet'!$A$243:$I$263,3,0)),0,VLOOKUP(A49,'Données projet'!$A$243:$I$263,3,0))</f>
        <v>7</v>
      </c>
      <c r="GH49" s="15">
        <f>IF(ISNA(VLOOKUP(A49,'Données projet'!$A$243:$I$263,4,0)),0,VLOOKUP(A49,'Données projet'!$A$243:$I$263,4,0))</f>
        <v>23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1.6114990303104428</v>
      </c>
      <c r="GM49" s="21">
        <f>EXP(-LN(2)/25)*GM48+(1-EXP(-LN(2)/25))/(LN(2)/25)*Calculateur!GH49*Calculateur!GJ49*VLOOKUP('Données projet'!$B$17,Paramètres!$A$1:$I$89,3,0)*0.475*44/12</f>
        <v>5.5544036708239499</v>
      </c>
      <c r="GN49" s="21">
        <f>EXP(-LN(2)/2)*GN48+(1-EXP(-LN(2)/2))/(LN(2)/2)*GH49*GK49*VLOOKUP('Données projet'!$B$17,Paramètres!$A$1:$I$89,3,0)*0.475*44/12</f>
        <v>1.5802822697956798E-2</v>
      </c>
      <c r="GO49" s="21">
        <f t="shared" si="27"/>
        <v>7.1817055238323491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2.8421709430404007E-14</v>
      </c>
      <c r="GV49" s="17">
        <f>GU49*VLOOKUP('Données projet'!$B$18,Paramètres!$A$1:$I$89,3,0)*VLOOKUP('Données projet'!$B$18,Paramètres!$A$1:$I$89,5,0)</f>
        <v>1.3567387213697657E-14</v>
      </c>
      <c r="GW49" s="13">
        <f t="shared" si="51"/>
        <v>2.5717320947985821E-13</v>
      </c>
      <c r="GX49" s="20">
        <f t="shared" si="28"/>
        <v>4.7153987257460977E-13</v>
      </c>
      <c r="GY49" s="59">
        <f t="shared" si="29"/>
        <v>293.33333333333377</v>
      </c>
      <c r="GZ49" s="59">
        <f ca="1">AVERAGE(OFFSET($GY$3,0,0,'Données projet'!$E$18+1,1))-AVERAGE(OFFSET($H$3,0,0,'Données projet'!$E$18+1,1))</f>
        <v>43.147469606759159</v>
      </c>
      <c r="HA49" s="59">
        <f t="shared" si="52"/>
        <v>147.46995307968473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26.268586734590933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2.153044754828865E-3</v>
      </c>
      <c r="HJ49" s="22">
        <f t="shared" si="30"/>
        <v>26.27073977934576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118.19999999999997</v>
      </c>
      <c r="O50" s="13">
        <f>N50*VLOOKUP('Données projet'!$B$9,Paramètres!$A$1:$I$89,3,0)*VLOOKUP('Données projet'!$B$9,Paramètres!$A$1:$I$89,5,0)</f>
        <v>106.94735999999997</v>
      </c>
      <c r="P50" s="13">
        <f t="shared" si="33"/>
        <v>28.61058496425451</v>
      </c>
      <c r="Q50" s="20">
        <f t="shared" si="53"/>
        <v>236.09675414607656</v>
      </c>
      <c r="R50" s="59">
        <f t="shared" si="0"/>
        <v>529.43008747940985</v>
      </c>
      <c r="S50" s="59">
        <f ca="1">AVERAGE(OFFSET($R$3,0,0,'Données projet'!$E$9+1,1))-AVERAGE(OFFSET($H$3,0,0,'Données projet'!$E$9+1,1))</f>
        <v>138.8931001150624</v>
      </c>
      <c r="T50" s="59">
        <f t="shared" si="34"/>
        <v>48.964659354096625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192.39999999999978</v>
      </c>
      <c r="AJ50" s="13">
        <f>AI50*VLOOKUP('Données projet'!$B$10,Paramètres!$A$1:$I$89,3,0)*VLOOKUP('Données projet'!$B$10,Paramètres!$A$1:$I$89,5,0)</f>
        <v>168.08063999999982</v>
      </c>
      <c r="AK50" s="13">
        <f t="shared" si="35"/>
        <v>42.659867131343425</v>
      </c>
      <c r="AL50" s="20">
        <f t="shared" si="4"/>
        <v>367.03971658708946</v>
      </c>
      <c r="AM50" s="59">
        <f t="shared" si="5"/>
        <v>660.37304992042277</v>
      </c>
      <c r="AN50" s="59">
        <f ca="1">AVERAGE(OFFSET($AM$3,0,0,'Données projet'!$E$10+1,1))-AVERAGE(OFFSET($H$3,0,0,'Données projet'!$E$10+1,1))</f>
        <v>191.94797389630673</v>
      </c>
      <c r="AO50" s="59">
        <f t="shared" si="36"/>
        <v>273.52540822767878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8.7683680546337897</v>
      </c>
      <c r="AW50" s="21">
        <f>EXP(-LN(2)/2)*AW49+(1-EXP(-LN(2)/2))/(LN(2)/2)*AQ50*AT50*VLOOKUP('Données projet'!$B$10,Paramètres!$A$1:$I$89,3,0)*0.475*44/12</f>
        <v>6.4090012245298228E-2</v>
      </c>
      <c r="AX50" s="21">
        <f t="shared" si="6"/>
        <v>10.671134507977536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9.5</v>
      </c>
      <c r="BD50" s="12">
        <f>IF('Données projet'!$A$88&gt;35,BD49+BC50-BL49,IF(A50&lt;'Données projet'!$A$88,$BA$205^A50,IF(A50='Données projet'!$A$88,'Données projet'!$B$88,BD49+BC50-BL49)))</f>
        <v>244.50000000000006</v>
      </c>
      <c r="BE50" s="13">
        <f>BD50*VLOOKUP('Données projet'!$B$11,Paramètres!$A$1:$I$89,3,0)*VLOOKUP('Données projet'!$B$11,Paramètres!$A$1:$I$89,5,0)</f>
        <v>152.56800000000004</v>
      </c>
      <c r="BF50" s="13">
        <f t="shared" si="37"/>
        <v>39.161595030150863</v>
      </c>
      <c r="BG50" s="20">
        <f t="shared" si="7"/>
        <v>333.92904467751282</v>
      </c>
      <c r="BH50" s="59">
        <f t="shared" si="8"/>
        <v>627.26237801084608</v>
      </c>
      <c r="BI50" s="59">
        <f ca="1">AVERAGE(OFFSET($BH$3,0,0,'Données projet'!$E$11+1,1))-AVERAGE(OFFSET($H$3,0,0,'Données projet'!$E$11+1,1))</f>
        <v>162.91481796710048</v>
      </c>
      <c r="BJ50" s="59">
        <f t="shared" si="38"/>
        <v>182.56192390367823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1.9862671231671141</v>
      </c>
      <c r="BQ50" s="21">
        <f>EXP(-LN(2)/25)*BQ49+(1-EXP(-LN(2)/25))/(LN(2)/25)*Calculateur!BL50*Calculateur!BN50*VLOOKUP('Données projet'!$B$11,Paramètres!$A$1:$I$89,3,0)*0.475*44/12</f>
        <v>9.5363701775312073</v>
      </c>
      <c r="BR50" s="21">
        <f>EXP(-LN(2)/2)*BR49+(1-EXP(-LN(2)/2))/(LN(2)/2)*BL50*BO50*VLOOKUP('Données projet'!$B$11,Paramètres!$A$1:$I$89,3,0)*0.475*44/12</f>
        <v>4.9634795388018495E-2</v>
      </c>
      <c r="BS50" s="22">
        <f t="shared" si="9"/>
        <v>11.572272096086339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7.0000000000000027</v>
      </c>
      <c r="BY50" s="12">
        <f>IF('Données projet'!$A$114&gt;35,BY49+BX50-CG49,IF(A50&lt;'Données projet'!$A$114,$BV$205^A50,IF(A50='Données projet'!$A$114,'Données projet'!$B$114,BY49+BX50-CG49)))</f>
        <v>220.39999999999998</v>
      </c>
      <c r="BZ50" s="13">
        <f>BY50*VLOOKUP('Données projet'!$B$12,Paramètres!$A$1:$I$89,3,0)*VLOOKUP('Données projet'!$B$12,Paramètres!$A$1:$I$89,5,0)</f>
        <v>103.1472</v>
      </c>
      <c r="CA50" s="13">
        <f t="shared" si="39"/>
        <v>27.710417026801451</v>
      </c>
      <c r="CB50" s="20">
        <f t="shared" si="10"/>
        <v>227.91034965501251</v>
      </c>
      <c r="CC50" s="59">
        <f t="shared" si="11"/>
        <v>521.24368298834588</v>
      </c>
      <c r="CD50" s="59">
        <f ca="1">AVERAGE(OFFSET($CC$3,0,0,'Données projet'!$E$12+1,1))-AVERAGE(OFFSET($H$3,0,0,'Données projet'!$E$12+1,1))</f>
        <v>123.60520571614535</v>
      </c>
      <c r="CE50" s="59">
        <f t="shared" si="40"/>
        <v>119.00926870519527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0.6193783863983171</v>
      </c>
      <c r="CL50" s="21">
        <f>EXP(-LN(2)/25)*CL49+(1-EXP(-LN(2)/25))/(LN(2)/25)*Calculateur!CG50*Calculateur!CI50*VLOOKUP('Données projet'!$B$12,Paramètres!$A$1:$I$89,3,0)*0.475*44/12</f>
        <v>2.9814865949088563</v>
      </c>
      <c r="CM50" s="21">
        <f>EXP(-LN(2)/2)*CM49+(1-EXP(-LN(2)/2))/(LN(2)/2)*CG50*CJ50*VLOOKUP('Données projet'!$B$12,Paramètres!$A$1:$I$89,3,0)*0.475*44/12</f>
        <v>1.688689900959299E-2</v>
      </c>
      <c r="CN50" s="22">
        <f t="shared" si="12"/>
        <v>3.6177518803167663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118.19999999999997</v>
      </c>
      <c r="CU50" s="17">
        <f>CT50*VLOOKUP('Données projet'!$B$13,Paramètres!$A$1:$I$89,3,0)*VLOOKUP('Données projet'!$B$13,Paramètres!$A$1:$I$89,5,0)</f>
        <v>123.54263999999999</v>
      </c>
      <c r="CV50" s="13">
        <f t="shared" si="41"/>
        <v>32.499857586578202</v>
      </c>
      <c r="CW50" s="20">
        <f t="shared" si="13"/>
        <v>271.77401662995698</v>
      </c>
      <c r="CX50" s="59">
        <f t="shared" si="14"/>
        <v>565.10734996329029</v>
      </c>
      <c r="CY50" s="59">
        <f ca="1">AVERAGE(OFFSET($CX$3,0,0,'Données projet'!$E$13+1,1))-AVERAGE(OFFSET($H$3,0,0,'Données projet'!$E$13+1,1))</f>
        <v>177.94336949486529</v>
      </c>
      <c r="CZ50" s="59">
        <f t="shared" si="42"/>
        <v>65.559373432574603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10.7</v>
      </c>
      <c r="DO50" s="12">
        <f>IF('Données projet'!$A$166&gt;35,DO49+DN50-DW49,IF(A50&lt;'Données projet'!$A$166,$DL$205^A50,IF(A50='Données projet'!$A$166,'Données projet'!$B$166,DO49+DN50-DW49)))</f>
        <v>251.89999999999989</v>
      </c>
      <c r="DP50" s="17">
        <f>DO50*VLOOKUP('Données projet'!$B$14,Paramètres!$A$1:$I$89,3,0)*VLOOKUP('Données projet'!$B$14,Paramètres!$A$1:$I$89,5,0)</f>
        <v>150.63619999999995</v>
      </c>
      <c r="DQ50" s="13">
        <f t="shared" si="43"/>
        <v>38.723128721349489</v>
      </c>
      <c r="DR50" s="20">
        <f t="shared" si="16"/>
        <v>329.80083085635027</v>
      </c>
      <c r="DS50" s="59">
        <f t="shared" si="17"/>
        <v>623.13416418968359</v>
      </c>
      <c r="DT50" s="59">
        <f ca="1">AVERAGE(OFFSET($DS$3,0,0,'Données projet'!$E$14+1,1))-AVERAGE(OFFSET($H$3,0,0,'Données projet'!$E$14+1,1))</f>
        <v>165.39579887388538</v>
      </c>
      <c r="DU50" s="59">
        <f t="shared" si="44"/>
        <v>155.89639262545802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4.5496937054532838</v>
      </c>
      <c r="EC50" s="21">
        <f>EXP(-LN(2)/2)*EC49+(1-EXP(-LN(2)/2))/(LN(2)/2)*DW50*DZ50*VLOOKUP('Données projet'!$B$14,Paramètres!$A$1:$I$89,3,0)*0.475*44/12</f>
        <v>3.8338544498424415E-2</v>
      </c>
      <c r="ED50" s="22">
        <f t="shared" si="18"/>
        <v>4.5880322499517083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19.2</v>
      </c>
      <c r="EJ50" s="12">
        <f>IF('Données projet'!$A$192&gt;35,EJ49+EI50-ER49,IF(A50&lt;'Données projet'!$A$192,$EG$205^A50,IF(A50='Données projet'!$A$192,'Données projet'!$B$192,EJ49+EI50-ER49)))</f>
        <v>432.39999999999981</v>
      </c>
      <c r="EK50" s="17">
        <f>EJ50*VLOOKUP('Données projet'!$B$15,Paramètres!$A$1:$I$89,3,0)*VLOOKUP('Données projet'!$B$15,Paramètres!$A$1:$I$89,5,0)</f>
        <v>207.98439999999991</v>
      </c>
      <c r="EL50" s="13">
        <f t="shared" si="45"/>
        <v>51.494879458640391</v>
      </c>
      <c r="EM50" s="20">
        <f t="shared" si="19"/>
        <v>451.92641172379848</v>
      </c>
      <c r="EN50" s="59">
        <f t="shared" si="20"/>
        <v>745.25974505713179</v>
      </c>
      <c r="EO50" s="59">
        <f ca="1">AVERAGE(OFFSET($EN$3,0,0,'Données projet'!$E$15+1,1))-AVERAGE(OFFSET($H$3,0,0,'Données projet'!$E$15+1,1))</f>
        <v>252.30925789500111</v>
      </c>
      <c r="EP50" s="59">
        <f t="shared" si="46"/>
        <v>213.96033794804805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3.3082283892928479</v>
      </c>
      <c r="EW50" s="21">
        <f>EXP(-LN(2)/25)*EW49+(1-EXP(-LN(2)/25))/(LN(2)/25)*Calculateur!ER50*Calculateur!ET50*VLOOKUP('Données projet'!$B$15,Paramètres!$A$1:$I$89,3,0)*0.475*44/12</f>
        <v>5.7600505392193293</v>
      </c>
      <c r="EX50" s="21">
        <f>EXP(-LN(2)/2)*EX49+(1-EXP(-LN(2)/2))/(LN(2)/2)*ER50*EU50*VLOOKUP('Données projet'!$B$15,Paramètres!$A$1:$I$89,3,0)*0.475*44/12</f>
        <v>3.9712715022334026E-2</v>
      </c>
      <c r="EY50" s="22">
        <f t="shared" si="21"/>
        <v>9.1079916435345112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19.2</v>
      </c>
      <c r="FE50" s="12">
        <f>IF('Données projet'!$A$218&gt;35,FE49+FD50-FM49,IF(A50&lt;'Données projet'!$A$218,$FB$205^A50,IF(A50='Données projet'!$A$218,'Données projet'!$B$218,FE49+FD50-FM49)))</f>
        <v>432.39999999999981</v>
      </c>
      <c r="FF50" s="17">
        <f>FE50*VLOOKUP('Données projet'!$B$16,Paramètres!$A$1:$I$89,3,0)*VLOOKUP('Données projet'!$B$16,Paramètres!$A$1:$I$89,5,0)</f>
        <v>207.98439999999991</v>
      </c>
      <c r="FG50" s="13">
        <f t="shared" si="47"/>
        <v>51.494879458640391</v>
      </c>
      <c r="FH50" s="20">
        <f t="shared" si="22"/>
        <v>451.92641172379848</v>
      </c>
      <c r="FI50" s="59">
        <f t="shared" si="23"/>
        <v>745.25974505713179</v>
      </c>
      <c r="FJ50" s="59">
        <f ca="1">AVERAGE(OFFSET($FI$3,0,0,'Données projet'!$E$16+1,1))-AVERAGE(OFFSET($H$3,0,0,'Données projet'!$E$16+1,1))</f>
        <v>252.30925789500111</v>
      </c>
      <c r="FK50" s="59">
        <f t="shared" si="48"/>
        <v>213.96033794804805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3.3082283892928479</v>
      </c>
      <c r="FR50" s="21">
        <f>EXP(-LN(2)/25)*FR49+(1-EXP(-LN(2)/25))/(LN(2)/25)*Calculateur!FM50*Calculateur!FO50*VLOOKUP('Données projet'!$B$16,Paramètres!$A$1:$I$89,3,0)*0.475*44/12</f>
        <v>5.7600505392193293</v>
      </c>
      <c r="FS50" s="21">
        <f>EXP(-LN(2)/2)*FS49+(1-EXP(-LN(2)/2))/(LN(2)/2)*FM50*FP50*VLOOKUP('Données projet'!$B$16,Paramètres!$A$1:$I$89,3,0)*0.475*44/12</f>
        <v>3.9712715022334026E-2</v>
      </c>
      <c r="FT50" s="22">
        <f t="shared" si="24"/>
        <v>9.1079916435345112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5.125</v>
      </c>
      <c r="FZ50" s="12">
        <f>IF('Données projet'!$A$244&gt;35,FZ49+FY50-GH49,IF(A50&lt;'Données projet'!$A$244,$FW$205^A50,IF(A50='Données projet'!$A$244,'Données projet'!$B$244,FZ49+FY50-GH49)))</f>
        <v>210.125</v>
      </c>
      <c r="GA50" s="17">
        <f>FZ50*VLOOKUP('Données projet'!$B$17,Paramètres!$A$1:$I$89,3,0)*VLOOKUP('Données projet'!$B$17,Paramètres!$A$1:$I$89,5,0)</f>
        <v>125.65475000000001</v>
      </c>
      <c r="GB50" s="13">
        <f t="shared" si="49"/>
        <v>32.990321670339604</v>
      </c>
      <c r="GC50" s="20">
        <f t="shared" si="25"/>
        <v>276.3068331591748</v>
      </c>
      <c r="GD50" s="59">
        <f t="shared" si="26"/>
        <v>569.64016649250811</v>
      </c>
      <c r="GE50" s="59">
        <f ca="1">AVERAGE(OFFSET($GD$3,0,0,'Données projet'!$E$17+1,1))-AVERAGE(OFFSET($H$3,0,0,'Données projet'!$E$17+1,1))</f>
        <v>117.54638373164624</v>
      </c>
      <c r="GF50" s="59">
        <f t="shared" si="50"/>
        <v>133.0740262536583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1.5798985172434086</v>
      </c>
      <c r="GM50" s="21">
        <f>EXP(-LN(2)/25)*GM49+(1-EXP(-LN(2)/25))/(LN(2)/25)*Calculateur!GH50*Calculateur!GJ50*VLOOKUP('Données projet'!$B$17,Paramètres!$A$1:$I$89,3,0)*0.475*44/12</f>
        <v>5.4025182103518743</v>
      </c>
      <c r="GN50" s="21">
        <f>EXP(-LN(2)/2)*GN49+(1-EXP(-LN(2)/2))/(LN(2)/2)*GH50*GK50*VLOOKUP('Données projet'!$B$17,Paramètres!$A$1:$I$89,3,0)*0.475*44/12</f>
        <v>1.1174283091613944E-2</v>
      </c>
      <c r="GO50" s="21">
        <f t="shared" si="27"/>
        <v>6.9935910106868961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2.8421709430404007E-14</v>
      </c>
      <c r="GV50" s="17">
        <f>GU50*VLOOKUP('Données projet'!$B$18,Paramètres!$A$1:$I$89,3,0)*VLOOKUP('Données projet'!$B$18,Paramètres!$A$1:$I$89,5,0)</f>
        <v>1.3567387213697657E-14</v>
      </c>
      <c r="GW50" s="13">
        <f t="shared" si="51"/>
        <v>2.5717320947985821E-13</v>
      </c>
      <c r="GX50" s="20">
        <f t="shared" si="28"/>
        <v>4.7153987257460977E-13</v>
      </c>
      <c r="GY50" s="59">
        <f t="shared" si="29"/>
        <v>293.33333333333377</v>
      </c>
      <c r="GZ50" s="59">
        <f ca="1">AVERAGE(OFFSET($GY$3,0,0,'Données projet'!$E$18+1,1))-AVERAGE(OFFSET($H$3,0,0,'Données projet'!$E$18+1,1))</f>
        <v>43.147469606759159</v>
      </c>
      <c r="HA50" s="59">
        <f t="shared" si="52"/>
        <v>147.46995307968473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25.753475770981446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1.5224325463376182E-3</v>
      </c>
      <c r="HJ50" s="22">
        <f t="shared" si="30"/>
        <v>25.754998203527784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123.79999999999997</v>
      </c>
      <c r="O51" s="13">
        <f>N51*VLOOKUP('Données projet'!$B$9,Paramètres!$A$1:$I$89,3,0)*VLOOKUP('Données projet'!$B$9,Paramètres!$A$1:$I$89,5,0)</f>
        <v>112.01423999999996</v>
      </c>
      <c r="P51" s="13">
        <f t="shared" si="33"/>
        <v>29.805052882814007</v>
      </c>
      <c r="Q51" s="20">
        <f t="shared" si="53"/>
        <v>247.00193510423426</v>
      </c>
      <c r="R51" s="59">
        <f t="shared" si="0"/>
        <v>540.33526843756761</v>
      </c>
      <c r="S51" s="59">
        <f ca="1">AVERAGE(OFFSET($R$3,0,0,'Données projet'!$E$9+1,1))-AVERAGE(OFFSET($H$3,0,0,'Données projet'!$E$9+1,1))</f>
        <v>138.8931001150624</v>
      </c>
      <c r="T51" s="59">
        <f t="shared" si="34"/>
        <v>48.964659354096625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199.59999999999977</v>
      </c>
      <c r="AJ51" s="13">
        <f>AI51*VLOOKUP('Données projet'!$B$10,Paramètres!$A$1:$I$89,3,0)*VLOOKUP('Données projet'!$B$10,Paramètres!$A$1:$I$89,5,0)</f>
        <v>174.37055999999981</v>
      </c>
      <c r="AK51" s="13">
        <f t="shared" si="35"/>
        <v>44.067432817877425</v>
      </c>
      <c r="AL51" s="20">
        <f t="shared" si="4"/>
        <v>380.44617082446945</v>
      </c>
      <c r="AM51" s="59">
        <f t="shared" si="5"/>
        <v>673.77950415780276</v>
      </c>
      <c r="AN51" s="59">
        <f ca="1">AVERAGE(OFFSET($AM$3,0,0,'Données projet'!$E$10+1,1))-AVERAGE(OFFSET($H$3,0,0,'Données projet'!$E$10+1,1))</f>
        <v>191.94797389630673</v>
      </c>
      <c r="AO51" s="59">
        <f t="shared" si="36"/>
        <v>273.52540822767878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8.528596569071393</v>
      </c>
      <c r="AW51" s="21">
        <f>EXP(-LN(2)/2)*AW50+(1-EXP(-LN(2)/2))/(LN(2)/2)*AQ51*AT51*VLOOKUP('Données projet'!$B$10,Paramètres!$A$1:$I$89,3,0)*0.475*44/12</f>
        <v>4.5318482264979247E-2</v>
      </c>
      <c r="AX51" s="21">
        <f t="shared" si="6"/>
        <v>10.376536168906773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9.5</v>
      </c>
      <c r="BD51" s="12">
        <f>IF('Données projet'!$A$88&gt;35,BD50+BC51-BL50,IF(A51&lt;'Données projet'!$A$88,$BA$205^A51,IF(A51='Données projet'!$A$88,'Données projet'!$B$88,BD50+BC51-BL50)))</f>
        <v>254.00000000000006</v>
      </c>
      <c r="BE51" s="13">
        <f>BD51*VLOOKUP('Données projet'!$B$11,Paramètres!$A$1:$I$89,3,0)*VLOOKUP('Données projet'!$B$11,Paramètres!$A$1:$I$89,5,0)</f>
        <v>158.49600000000004</v>
      </c>
      <c r="BF51" s="13">
        <f t="shared" si="37"/>
        <v>40.503097769376929</v>
      </c>
      <c r="BG51" s="20">
        <f t="shared" si="7"/>
        <v>346.59009528166484</v>
      </c>
      <c r="BH51" s="59">
        <f t="shared" si="8"/>
        <v>639.9234286149981</v>
      </c>
      <c r="BI51" s="59">
        <f ca="1">AVERAGE(OFFSET($BH$3,0,0,'Données projet'!$E$11+1,1))-AVERAGE(OFFSET($H$3,0,0,'Données projet'!$E$11+1,1))</f>
        <v>162.91481796710048</v>
      </c>
      <c r="BJ51" s="59">
        <f t="shared" si="38"/>
        <v>182.56192390367823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1.9473176363851261</v>
      </c>
      <c r="BQ51" s="21">
        <f>EXP(-LN(2)/25)*BQ50+(1-EXP(-LN(2)/25))/(LN(2)/25)*Calculateur!BL51*Calculateur!BN51*VLOOKUP('Données projet'!$B$11,Paramètres!$A$1:$I$89,3,0)*0.475*44/12</f>
        <v>9.2755976335307047</v>
      </c>
      <c r="BR51" s="21">
        <f>EXP(-LN(2)/2)*BR50+(1-EXP(-LN(2)/2))/(LN(2)/2)*BL51*BO51*VLOOKUP('Données projet'!$B$11,Paramètres!$A$1:$I$89,3,0)*0.475*44/12</f>
        <v>3.5097100401674651E-2</v>
      </c>
      <c r="BS51" s="22">
        <f t="shared" si="9"/>
        <v>11.258012370317505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7.0000000000000027</v>
      </c>
      <c r="BY51" s="12">
        <f>IF('Données projet'!$A$114&gt;35,BY50+BX51-CG50,IF(A51&lt;'Données projet'!$A$114,$BV$205^A51,IF(A51='Données projet'!$A$114,'Données projet'!$B$114,BY50+BX51-CG50)))</f>
        <v>227.39999999999998</v>
      </c>
      <c r="BZ51" s="13">
        <f>BY51*VLOOKUP('Données projet'!$B$12,Paramètres!$A$1:$I$89,3,0)*VLOOKUP('Données projet'!$B$12,Paramètres!$A$1:$I$89,5,0)</f>
        <v>106.42319999999999</v>
      </c>
      <c r="CA51" s="13">
        <f t="shared" si="39"/>
        <v>28.486648146569141</v>
      </c>
      <c r="CB51" s="20">
        <f t="shared" si="10"/>
        <v>234.96798552194124</v>
      </c>
      <c r="CC51" s="59">
        <f t="shared" si="11"/>
        <v>528.30131885527453</v>
      </c>
      <c r="CD51" s="59">
        <f ca="1">AVERAGE(OFFSET($CC$3,0,0,'Données projet'!$E$12+1,1))-AVERAGE(OFFSET($H$3,0,0,'Données projet'!$E$12+1,1))</f>
        <v>123.60520571614535</v>
      </c>
      <c r="CE51" s="59">
        <f t="shared" si="40"/>
        <v>119.00926870519527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0.60723275402455879</v>
      </c>
      <c r="CL51" s="21">
        <f>EXP(-LN(2)/25)*CL50+(1-EXP(-LN(2)/25))/(LN(2)/25)*Calculateur!CG51*Calculateur!CI51*VLOOKUP('Données projet'!$B$12,Paramètres!$A$1:$I$89,3,0)*0.475*44/12</f>
        <v>2.8999576871815078</v>
      </c>
      <c r="CM51" s="21">
        <f>EXP(-LN(2)/2)*CM50+(1-EXP(-LN(2)/2))/(LN(2)/2)*CG51*CJ51*VLOOKUP('Données projet'!$B$12,Paramètres!$A$1:$I$89,3,0)*0.475*44/12</f>
        <v>1.1940840802895597E-2</v>
      </c>
      <c r="CN51" s="22">
        <f t="shared" si="12"/>
        <v>3.5191312820089626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123.79999999999997</v>
      </c>
      <c r="CU51" s="17">
        <f>CT51*VLOOKUP('Données projet'!$B$13,Paramètres!$A$1:$I$89,3,0)*VLOOKUP('Données projet'!$B$13,Paramètres!$A$1:$I$89,5,0)</f>
        <v>129.39575999999997</v>
      </c>
      <c r="CV51" s="13">
        <f t="shared" si="41"/>
        <v>33.856699374099193</v>
      </c>
      <c r="CW51" s="20">
        <f t="shared" si="13"/>
        <v>284.33136674322265</v>
      </c>
      <c r="CX51" s="59">
        <f t="shared" si="14"/>
        <v>577.66470007655596</v>
      </c>
      <c r="CY51" s="59">
        <f ca="1">AVERAGE(OFFSET($CX$3,0,0,'Données projet'!$E$13+1,1))-AVERAGE(OFFSET($H$3,0,0,'Données projet'!$E$13+1,1))</f>
        <v>177.94336949486529</v>
      </c>
      <c r="CZ51" s="59">
        <f t="shared" si="42"/>
        <v>65.559373432574603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10.7</v>
      </c>
      <c r="DO51" s="12">
        <f>IF('Données projet'!$A$166&gt;35,DO50+DN51-DW50,IF(A51&lt;'Données projet'!$A$166,$DL$205^A51,IF(A51='Données projet'!$A$166,'Données projet'!$B$166,DO50+DN51-DW50)))</f>
        <v>262.59999999999991</v>
      </c>
      <c r="DP51" s="17">
        <f>DO51*VLOOKUP('Données projet'!$B$14,Paramètres!$A$1:$I$89,3,0)*VLOOKUP('Données projet'!$B$14,Paramètres!$A$1:$I$89,5,0)</f>
        <v>157.03479999999996</v>
      </c>
      <c r="DQ51" s="13">
        <f t="shared" si="43"/>
        <v>40.172979873645495</v>
      </c>
      <c r="DR51" s="20">
        <f t="shared" si="16"/>
        <v>343.47021661326585</v>
      </c>
      <c r="DS51" s="59">
        <f t="shared" si="17"/>
        <v>636.80354994659911</v>
      </c>
      <c r="DT51" s="59">
        <f ca="1">AVERAGE(OFFSET($DS$3,0,0,'Données projet'!$E$14+1,1))-AVERAGE(OFFSET($H$3,0,0,'Données projet'!$E$14+1,1))</f>
        <v>165.39579887388538</v>
      </c>
      <c r="DU51" s="59">
        <f t="shared" si="44"/>
        <v>155.89639262545802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4.4252820918196702</v>
      </c>
      <c r="EC51" s="21">
        <f>EXP(-LN(2)/2)*EC50+(1-EXP(-LN(2)/2))/(LN(2)/2)*DW51*DZ51*VLOOKUP('Données projet'!$B$14,Paramètres!$A$1:$I$89,3,0)*0.475*44/12</f>
        <v>2.7109444795658109E-2</v>
      </c>
      <c r="ED51" s="22">
        <f t="shared" si="18"/>
        <v>4.4523915366153286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19.2</v>
      </c>
      <c r="EJ51" s="12">
        <f>IF('Données projet'!$A$192&gt;35,EJ50+EI51-ER50,IF(A51&lt;'Données projet'!$A$192,$EG$205^A51,IF(A51='Données projet'!$A$192,'Données projet'!$B$192,EJ50+EI51-ER50)))</f>
        <v>451.5999999999998</v>
      </c>
      <c r="EK51" s="17">
        <f>EJ51*VLOOKUP('Données projet'!$B$15,Paramètres!$A$1:$I$89,3,0)*VLOOKUP('Données projet'!$B$15,Paramètres!$A$1:$I$89,5,0)</f>
        <v>217.2195999999999</v>
      </c>
      <c r="EL51" s="13">
        <f t="shared" si="45"/>
        <v>53.510132920731287</v>
      </c>
      <c r="EM51" s="20">
        <f t="shared" si="19"/>
        <v>471.5209515036068</v>
      </c>
      <c r="EN51" s="59">
        <f t="shared" si="20"/>
        <v>764.85428483694011</v>
      </c>
      <c r="EO51" s="59">
        <f ca="1">AVERAGE(OFFSET($EN$3,0,0,'Données projet'!$E$15+1,1))-AVERAGE(OFFSET($H$3,0,0,'Données projet'!$E$15+1,1))</f>
        <v>252.30925789500111</v>
      </c>
      <c r="EP51" s="59">
        <f t="shared" si="46"/>
        <v>213.96033794804805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3.2433560483988892</v>
      </c>
      <c r="EW51" s="21">
        <f>EXP(-LN(2)/25)*EW50+(1-EXP(-LN(2)/25))/(LN(2)/25)*Calculateur!ER51*Calculateur!ET51*VLOOKUP('Données projet'!$B$15,Paramètres!$A$1:$I$89,3,0)*0.475*44/12</f>
        <v>5.6025416543164841</v>
      </c>
      <c r="EX51" s="21">
        <f>EXP(-LN(2)/2)*EX50+(1-EXP(-LN(2)/2))/(LN(2)/2)*ER51*EU51*VLOOKUP('Données projet'!$B$15,Paramètres!$A$1:$I$89,3,0)*0.475*44/12</f>
        <v>2.8081130091621265E-2</v>
      </c>
      <c r="EY51" s="22">
        <f t="shared" si="21"/>
        <v>8.8739788328069942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19.2</v>
      </c>
      <c r="FE51" s="12">
        <f>IF('Données projet'!$A$218&gt;35,FE50+FD51-FM50,IF(A51&lt;'Données projet'!$A$218,$FB$205^A51,IF(A51='Données projet'!$A$218,'Données projet'!$B$218,FE50+FD51-FM50)))</f>
        <v>451.5999999999998</v>
      </c>
      <c r="FF51" s="17">
        <f>FE51*VLOOKUP('Données projet'!$B$16,Paramètres!$A$1:$I$89,3,0)*VLOOKUP('Données projet'!$B$16,Paramètres!$A$1:$I$89,5,0)</f>
        <v>217.2195999999999</v>
      </c>
      <c r="FG51" s="13">
        <f t="shared" si="47"/>
        <v>53.510132920731287</v>
      </c>
      <c r="FH51" s="20">
        <f t="shared" si="22"/>
        <v>471.5209515036068</v>
      </c>
      <c r="FI51" s="59">
        <f t="shared" si="23"/>
        <v>764.85428483694011</v>
      </c>
      <c r="FJ51" s="59">
        <f ca="1">AVERAGE(OFFSET($FI$3,0,0,'Données projet'!$E$16+1,1))-AVERAGE(OFFSET($H$3,0,0,'Données projet'!$E$16+1,1))</f>
        <v>252.30925789500111</v>
      </c>
      <c r="FK51" s="59">
        <f t="shared" si="48"/>
        <v>213.96033794804805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3.2433560483988892</v>
      </c>
      <c r="FR51" s="21">
        <f>EXP(-LN(2)/25)*FR50+(1-EXP(-LN(2)/25))/(LN(2)/25)*Calculateur!FM51*Calculateur!FO51*VLOOKUP('Données projet'!$B$16,Paramètres!$A$1:$I$89,3,0)*0.475*44/12</f>
        <v>5.6025416543164841</v>
      </c>
      <c r="FS51" s="21">
        <f>EXP(-LN(2)/2)*FS50+(1-EXP(-LN(2)/2))/(LN(2)/2)*FM51*FP51*VLOOKUP('Données projet'!$B$16,Paramètres!$A$1:$I$89,3,0)*0.475*44/12</f>
        <v>2.8081130091621265E-2</v>
      </c>
      <c r="FT51" s="22">
        <f t="shared" si="24"/>
        <v>8.8739788328069942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5.125</v>
      </c>
      <c r="FZ51" s="12">
        <f>IF('Données projet'!$A$244&gt;35,FZ50+FY51-GH50,IF(A51&lt;'Données projet'!$A$244,$FW$205^A51,IF(A51='Données projet'!$A$244,'Données projet'!$B$244,FZ50+FY51-GH50)))</f>
        <v>215.25</v>
      </c>
      <c r="GA51" s="17">
        <f>FZ51*VLOOKUP('Données projet'!$B$17,Paramètres!$A$1:$I$89,3,0)*VLOOKUP('Données projet'!$B$17,Paramètres!$A$1:$I$89,5,0)</f>
        <v>128.71950000000001</v>
      </c>
      <c r="GB51" s="13">
        <f t="shared" si="49"/>
        <v>33.700303131200371</v>
      </c>
      <c r="GC51" s="20">
        <f t="shared" si="25"/>
        <v>282.88115712017401</v>
      </c>
      <c r="GD51" s="59">
        <f t="shared" si="26"/>
        <v>576.21449045350732</v>
      </c>
      <c r="GE51" s="59">
        <f ca="1">AVERAGE(OFFSET($GD$3,0,0,'Données projet'!$E$17+1,1))-AVERAGE(OFFSET($H$3,0,0,'Données projet'!$E$17+1,1))</f>
        <v>117.54638373164624</v>
      </c>
      <c r="GF51" s="59">
        <f t="shared" si="50"/>
        <v>133.0740262536583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1.5489176709632091</v>
      </c>
      <c r="GM51" s="21">
        <f>EXP(-LN(2)/25)*GM50+(1-EXP(-LN(2)/25))/(LN(2)/25)*Calculateur!GH51*Calculateur!GJ51*VLOOKUP('Données projet'!$B$17,Paramètres!$A$1:$I$89,3,0)*0.475*44/12</f>
        <v>5.2547860657837173</v>
      </c>
      <c r="GN51" s="21">
        <f>EXP(-LN(2)/2)*GN50+(1-EXP(-LN(2)/2))/(LN(2)/2)*GH51*GK51*VLOOKUP('Données projet'!$B$17,Paramètres!$A$1:$I$89,3,0)*0.475*44/12</f>
        <v>7.9014113489783988E-3</v>
      </c>
      <c r="GO51" s="21">
        <f t="shared" si="27"/>
        <v>6.8116051480959046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2.8421709430404007E-14</v>
      </c>
      <c r="GV51" s="17">
        <f>GU51*VLOOKUP('Données projet'!$B$18,Paramètres!$A$1:$I$89,3,0)*VLOOKUP('Données projet'!$B$18,Paramètres!$A$1:$I$89,5,0)</f>
        <v>1.3567387213697657E-14</v>
      </c>
      <c r="GW51" s="13">
        <f t="shared" si="51"/>
        <v>2.5717320947985821E-13</v>
      </c>
      <c r="GX51" s="20">
        <f t="shared" si="28"/>
        <v>4.7153987257460977E-13</v>
      </c>
      <c r="GY51" s="59">
        <f t="shared" si="29"/>
        <v>293.33333333333377</v>
      </c>
      <c r="GZ51" s="59">
        <f ca="1">AVERAGE(OFFSET($GY$3,0,0,'Données projet'!$E$18+1,1))-AVERAGE(OFFSET($H$3,0,0,'Données projet'!$E$18+1,1))</f>
        <v>43.147469606759159</v>
      </c>
      <c r="HA51" s="59">
        <f t="shared" si="52"/>
        <v>147.46995307968473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25.248465819181678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1.0765223774144325E-3</v>
      </c>
      <c r="HJ51" s="22">
        <f t="shared" si="30"/>
        <v>25.249542341559092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129.39999999999998</v>
      </c>
      <c r="O52" s="13">
        <f>N52*VLOOKUP('Données projet'!$B$9,Paramètres!$A$1:$I$89,3,0)*VLOOKUP('Données projet'!$B$9,Paramètres!$A$1:$I$89,5,0)</f>
        <v>117.08111999999997</v>
      </c>
      <c r="P52" s="13">
        <f t="shared" si="33"/>
        <v>30.993245877902094</v>
      </c>
      <c r="Q52" s="20">
        <f t="shared" si="53"/>
        <v>257.89618723734606</v>
      </c>
      <c r="R52" s="59">
        <f t="shared" si="0"/>
        <v>551.22952057067937</v>
      </c>
      <c r="S52" s="59">
        <f ca="1">AVERAGE(OFFSET($R$3,0,0,'Données projet'!$E$9+1,1))-AVERAGE(OFFSET($H$3,0,0,'Données projet'!$E$9+1,1))</f>
        <v>138.8931001150624</v>
      </c>
      <c r="T52" s="59">
        <f t="shared" si="34"/>
        <v>48.964659354096625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206.79999999999976</v>
      </c>
      <c r="AJ52" s="13">
        <f>AI52*VLOOKUP('Données projet'!$B$10,Paramètres!$A$1:$I$89,3,0)*VLOOKUP('Données projet'!$B$10,Paramètres!$A$1:$I$89,5,0)</f>
        <v>180.66047999999981</v>
      </c>
      <c r="AK52" s="13">
        <f t="shared" si="35"/>
        <v>45.469099459918716</v>
      </c>
      <c r="AL52" s="20">
        <f t="shared" si="4"/>
        <v>393.8423508926914</v>
      </c>
      <c r="AM52" s="59">
        <f t="shared" si="5"/>
        <v>687.17568422602471</v>
      </c>
      <c r="AN52" s="59">
        <f ca="1">AVERAGE(OFFSET($AM$3,0,0,'Données projet'!$E$10+1,1))-AVERAGE(OFFSET($H$3,0,0,'Données projet'!$E$10+1,1))</f>
        <v>191.94797389630673</v>
      </c>
      <c r="AO52" s="59">
        <f t="shared" si="36"/>
        <v>273.52540822767878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8.2953816473907338</v>
      </c>
      <c r="AW52" s="21">
        <f>EXP(-LN(2)/2)*AW51+(1-EXP(-LN(2)/2))/(LN(2)/2)*AQ52*AT52*VLOOKUP('Données projet'!$B$10,Paramètres!$A$1:$I$89,3,0)*0.475*44/12</f>
        <v>3.2045006122649114E-2</v>
      </c>
      <c r="AX52" s="21">
        <f t="shared" si="6"/>
        <v>10.094699470458542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9.5</v>
      </c>
      <c r="BD52" s="12">
        <f>IF('Données projet'!$A$88&gt;35,BD51+BC52-BL51,IF(A52&lt;'Données projet'!$A$88,$BA$205^A52,IF(A52='Données projet'!$A$88,'Données projet'!$B$88,BD51+BC52-BL51)))</f>
        <v>263.50000000000006</v>
      </c>
      <c r="BE52" s="13">
        <f>BD52*VLOOKUP('Données projet'!$B$11,Paramètres!$A$1:$I$89,3,0)*VLOOKUP('Données projet'!$B$11,Paramètres!$A$1:$I$89,5,0)</f>
        <v>164.42400000000004</v>
      </c>
      <c r="BF52" s="13">
        <f t="shared" si="37"/>
        <v>41.838771477410226</v>
      </c>
      <c r="BG52" s="20">
        <f t="shared" si="7"/>
        <v>359.24099365648954</v>
      </c>
      <c r="BH52" s="59">
        <f t="shared" si="8"/>
        <v>652.57432698982279</v>
      </c>
      <c r="BI52" s="59">
        <f ca="1">AVERAGE(OFFSET($BH$3,0,0,'Données projet'!$E$11+1,1))-AVERAGE(OFFSET($H$3,0,0,'Données projet'!$E$11+1,1))</f>
        <v>162.91481796710048</v>
      </c>
      <c r="BJ52" s="59">
        <f t="shared" si="38"/>
        <v>182.56192390367823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1.9091319252820917</v>
      </c>
      <c r="BQ52" s="21">
        <f>EXP(-LN(2)/25)*BQ51+(1-EXP(-LN(2)/25))/(LN(2)/25)*Calculateur!BL52*Calculateur!BN52*VLOOKUP('Données projet'!$B$11,Paramètres!$A$1:$I$89,3,0)*0.475*44/12</f>
        <v>9.0219559284593274</v>
      </c>
      <c r="BR52" s="21">
        <f>EXP(-LN(2)/2)*BR51+(1-EXP(-LN(2)/2))/(LN(2)/2)*BL52*BO52*VLOOKUP('Données projet'!$B$11,Paramètres!$A$1:$I$89,3,0)*0.475*44/12</f>
        <v>2.4817397694009247E-2</v>
      </c>
      <c r="BS52" s="22">
        <f t="shared" si="9"/>
        <v>10.955905251435428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7.0000000000000027</v>
      </c>
      <c r="BY52" s="12">
        <f>IF('Données projet'!$A$114&gt;35,BY51+BX52-CG51,IF(A52&lt;'Données projet'!$A$114,$BV$205^A52,IF(A52='Données projet'!$A$114,'Données projet'!$B$114,BY51+BX52-CG51)))</f>
        <v>234.39999999999998</v>
      </c>
      <c r="BZ52" s="13">
        <f>BY52*VLOOKUP('Données projet'!$B$12,Paramètres!$A$1:$I$89,3,0)*VLOOKUP('Données projet'!$B$12,Paramètres!$A$1:$I$89,5,0)</f>
        <v>109.69919999999999</v>
      </c>
      <c r="CA52" s="13">
        <f t="shared" si="39"/>
        <v>29.260102455780586</v>
      </c>
      <c r="CB52" s="20">
        <f t="shared" si="10"/>
        <v>242.02078511048447</v>
      </c>
      <c r="CC52" s="59">
        <f t="shared" si="11"/>
        <v>535.35411844381781</v>
      </c>
      <c r="CD52" s="59">
        <f ca="1">AVERAGE(OFFSET($CC$3,0,0,'Données projet'!$E$12+1,1))-AVERAGE(OFFSET($H$3,0,0,'Données projet'!$E$12+1,1))</f>
        <v>123.60520571614535</v>
      </c>
      <c r="CE52" s="59">
        <f t="shared" si="40"/>
        <v>119.00926870519527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0.59532529009354562</v>
      </c>
      <c r="CL52" s="21">
        <f>EXP(-LN(2)/25)*CL51+(1-EXP(-LN(2)/25))/(LN(2)/25)*Calculateur!CG52*Calculateur!CI52*VLOOKUP('Données projet'!$B$12,Paramètres!$A$1:$I$89,3,0)*0.475*44/12</f>
        <v>2.8206581917233828</v>
      </c>
      <c r="CM52" s="21">
        <f>EXP(-LN(2)/2)*CM51+(1-EXP(-LN(2)/2))/(LN(2)/2)*CG52*CJ52*VLOOKUP('Données projet'!$B$12,Paramètres!$A$1:$I$89,3,0)*0.475*44/12</f>
        <v>8.443449504796495E-3</v>
      </c>
      <c r="CN52" s="22">
        <f t="shared" si="12"/>
        <v>3.424426931321725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135.24887999999999</v>
      </c>
      <c r="CV52" s="13">
        <f t="shared" si="41"/>
        <v>35.206413236083414</v>
      </c>
      <c r="CW52" s="20">
        <f t="shared" si="13"/>
        <v>296.87630238617857</v>
      </c>
      <c r="CX52" s="59">
        <f t="shared" si="14"/>
        <v>590.20963571951188</v>
      </c>
      <c r="CY52" s="59">
        <f ca="1">AVERAGE(OFFSET($CX$3,0,0,'Données projet'!$E$13+1,1))-AVERAGE(OFFSET($H$3,0,0,'Données projet'!$E$13+1,1))</f>
        <v>177.94336949486529</v>
      </c>
      <c r="CZ52" s="59">
        <f t="shared" si="42"/>
        <v>65.559373432574603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10.7</v>
      </c>
      <c r="DO52" s="12">
        <f>IF('Données projet'!$A$166&gt;35,DO51+DN52-DW51,IF(A52&lt;'Données projet'!$A$166,$DL$205^A52,IF(A52='Données projet'!$A$166,'Données projet'!$B$166,DO51+DN52-DW51)))</f>
        <v>273.2999999999999</v>
      </c>
      <c r="DP52" s="17">
        <f>DO52*VLOOKUP('Données projet'!$B$14,Paramètres!$A$1:$I$89,3,0)*VLOOKUP('Données projet'!$B$14,Paramètres!$A$1:$I$89,5,0)</f>
        <v>163.43339999999995</v>
      </c>
      <c r="DQ52" s="13">
        <f t="shared" si="43"/>
        <v>41.615968833471683</v>
      </c>
      <c r="DR52" s="20">
        <f t="shared" si="16"/>
        <v>357.12765071829648</v>
      </c>
      <c r="DS52" s="59">
        <f t="shared" si="17"/>
        <v>650.46098405162979</v>
      </c>
      <c r="DT52" s="59">
        <f ca="1">AVERAGE(OFFSET($DS$3,0,0,'Données projet'!$E$14+1,1))-AVERAGE(OFFSET($H$3,0,0,'Données projet'!$E$14+1,1))</f>
        <v>165.39579887388538</v>
      </c>
      <c r="DU52" s="59">
        <f t="shared" si="44"/>
        <v>155.89639262545802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4.3042725203033907</v>
      </c>
      <c r="EC52" s="21">
        <f>EXP(-LN(2)/2)*EC51+(1-EXP(-LN(2)/2))/(LN(2)/2)*DW52*DZ52*VLOOKUP('Données projet'!$B$14,Paramètres!$A$1:$I$89,3,0)*0.475*44/12</f>
        <v>1.9169272249212208E-2</v>
      </c>
      <c r="ED52" s="22">
        <f t="shared" si="18"/>
        <v>4.323441792552603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19.2</v>
      </c>
      <c r="EJ52" s="12">
        <f>IF('Données projet'!$A$192&gt;35,EJ51+EI52-ER51,IF(A52&lt;'Données projet'!$A$192,$EG$205^A52,IF(A52='Données projet'!$A$192,'Données projet'!$B$192,EJ51+EI52-ER51)))</f>
        <v>470.79999999999978</v>
      </c>
      <c r="EK52" s="17">
        <f>EJ52*VLOOKUP('Données projet'!$B$15,Paramètres!$A$1:$I$89,3,0)*VLOOKUP('Données projet'!$B$15,Paramètres!$A$1:$I$89,5,0)</f>
        <v>226.45479999999989</v>
      </c>
      <c r="EL52" s="13">
        <f t="shared" si="45"/>
        <v>55.515434758641419</v>
      </c>
      <c r="EM52" s="20">
        <f t="shared" si="19"/>
        <v>491.09815887130026</v>
      </c>
      <c r="EN52" s="59">
        <f t="shared" si="20"/>
        <v>784.43149220463351</v>
      </c>
      <c r="EO52" s="59">
        <f ca="1">AVERAGE(OFFSET($EN$3,0,0,'Données projet'!$E$15+1,1))-AVERAGE(OFFSET($H$3,0,0,'Données projet'!$E$15+1,1))</f>
        <v>252.30925789500111</v>
      </c>
      <c r="EP52" s="59">
        <f t="shared" si="46"/>
        <v>213.96033794804805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3.1797558145416405</v>
      </c>
      <c r="EW52" s="21">
        <f>EXP(-LN(2)/25)*EW51+(1-EXP(-LN(2)/25))/(LN(2)/25)*Calculateur!ER52*Calculateur!ET52*VLOOKUP('Données projet'!$B$15,Paramètres!$A$1:$I$89,3,0)*0.475*44/12</f>
        <v>5.4493398581543389</v>
      </c>
      <c r="EX52" s="21">
        <f>EXP(-LN(2)/2)*EX51+(1-EXP(-LN(2)/2))/(LN(2)/2)*ER52*EU52*VLOOKUP('Données projet'!$B$15,Paramètres!$A$1:$I$89,3,0)*0.475*44/12</f>
        <v>1.9856357511167013E-2</v>
      </c>
      <c r="EY52" s="22">
        <f t="shared" si="21"/>
        <v>8.6489520302071448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19.2</v>
      </c>
      <c r="FE52" s="12">
        <f>IF('Données projet'!$A$218&gt;35,FE51+FD52-FM51,IF(A52&lt;'Données projet'!$A$218,$FB$205^A52,IF(A52='Données projet'!$A$218,'Données projet'!$B$218,FE51+FD52-FM51)))</f>
        <v>470.79999999999978</v>
      </c>
      <c r="FF52" s="17">
        <f>FE52*VLOOKUP('Données projet'!$B$16,Paramètres!$A$1:$I$89,3,0)*VLOOKUP('Données projet'!$B$16,Paramètres!$A$1:$I$89,5,0)</f>
        <v>226.45479999999989</v>
      </c>
      <c r="FG52" s="13">
        <f t="shared" si="47"/>
        <v>55.515434758641419</v>
      </c>
      <c r="FH52" s="20">
        <f t="shared" si="22"/>
        <v>491.09815887130026</v>
      </c>
      <c r="FI52" s="59">
        <f t="shared" si="23"/>
        <v>784.43149220463351</v>
      </c>
      <c r="FJ52" s="59">
        <f ca="1">AVERAGE(OFFSET($FI$3,0,0,'Données projet'!$E$16+1,1))-AVERAGE(OFFSET($H$3,0,0,'Données projet'!$E$16+1,1))</f>
        <v>252.30925789500111</v>
      </c>
      <c r="FK52" s="59">
        <f t="shared" si="48"/>
        <v>213.96033794804805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3.1797558145416405</v>
      </c>
      <c r="FR52" s="21">
        <f>EXP(-LN(2)/25)*FR51+(1-EXP(-LN(2)/25))/(LN(2)/25)*Calculateur!FM52*Calculateur!FO52*VLOOKUP('Données projet'!$B$16,Paramètres!$A$1:$I$89,3,0)*0.475*44/12</f>
        <v>5.4493398581543389</v>
      </c>
      <c r="FS52" s="21">
        <f>EXP(-LN(2)/2)*FS51+(1-EXP(-LN(2)/2))/(LN(2)/2)*FM52*FP52*VLOOKUP('Données projet'!$B$16,Paramètres!$A$1:$I$89,3,0)*0.475*44/12</f>
        <v>1.9856357511167013E-2</v>
      </c>
      <c r="FT52" s="22">
        <f t="shared" si="24"/>
        <v>8.6489520302071448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5.125</v>
      </c>
      <c r="FZ52" s="12">
        <f>IF('Données projet'!$A$244&gt;35,FZ51+FY52-GH51,IF(A52&lt;'Données projet'!$A$244,$FW$205^A52,IF(A52='Données projet'!$A$244,'Données projet'!$B$244,FZ51+FY52-GH51)))</f>
        <v>220.375</v>
      </c>
      <c r="GA52" s="17">
        <f>FZ52*VLOOKUP('Données projet'!$B$17,Paramètres!$A$1:$I$89,3,0)*VLOOKUP('Données projet'!$B$17,Paramètres!$A$1:$I$89,5,0)</f>
        <v>131.78425000000001</v>
      </c>
      <c r="GB52" s="13">
        <f t="shared" si="49"/>
        <v>34.408319457025534</v>
      </c>
      <c r="GC52" s="20">
        <f t="shared" si="25"/>
        <v>289.45205847098617</v>
      </c>
      <c r="GD52" s="59">
        <f t="shared" si="26"/>
        <v>582.78539180431949</v>
      </c>
      <c r="GE52" s="59">
        <f ca="1">AVERAGE(OFFSET($GD$3,0,0,'Données projet'!$E$17+1,1))-AVERAGE(OFFSET($H$3,0,0,'Données projet'!$E$17+1,1))</f>
        <v>117.54638373164624</v>
      </c>
      <c r="GF52" s="59">
        <f t="shared" si="50"/>
        <v>133.0740262536583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1.5185443401821139</v>
      </c>
      <c r="GM52" s="21">
        <f>EXP(-LN(2)/25)*GM51+(1-EXP(-LN(2)/25))/(LN(2)/25)*Calculateur!GH52*Calculateur!GJ52*VLOOKUP('Données projet'!$B$17,Paramètres!$A$1:$I$89,3,0)*0.475*44/12</f>
        <v>5.1110936644776723</v>
      </c>
      <c r="GN52" s="21">
        <f>EXP(-LN(2)/2)*GN51+(1-EXP(-LN(2)/2))/(LN(2)/2)*GH52*GK52*VLOOKUP('Données projet'!$B$17,Paramètres!$A$1:$I$89,3,0)*0.475*44/12</f>
        <v>5.587141545806972E-3</v>
      </c>
      <c r="GO52" s="21">
        <f t="shared" si="27"/>
        <v>6.6352251462055936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2.8421709430404007E-14</v>
      </c>
      <c r="GV52" s="17">
        <f>GU52*VLOOKUP('Données projet'!$B$18,Paramètres!$A$1:$I$89,3,0)*VLOOKUP('Données projet'!$B$18,Paramètres!$A$1:$I$89,5,0)</f>
        <v>1.3567387213697657E-14</v>
      </c>
      <c r="GW52" s="13">
        <f t="shared" si="51"/>
        <v>2.5717320947985821E-13</v>
      </c>
      <c r="GX52" s="20">
        <f t="shared" si="28"/>
        <v>4.7153987257460977E-13</v>
      </c>
      <c r="GY52" s="59">
        <f t="shared" si="29"/>
        <v>293.33333333333377</v>
      </c>
      <c r="GZ52" s="59">
        <f ca="1">AVERAGE(OFFSET($GY$3,0,0,'Données projet'!$E$18+1,1))-AVERAGE(OFFSET($H$3,0,0,'Données projet'!$E$18+1,1))</f>
        <v>43.147469606759159</v>
      </c>
      <c r="HA52" s="59">
        <f t="shared" si="52"/>
        <v>147.46995307968473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24.753358804511048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7.6121627316880908E-4</v>
      </c>
      <c r="HJ52" s="22">
        <f t="shared" si="30"/>
        <v>24.754120020784217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135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134.99999999999997</v>
      </c>
      <c r="O53" s="13">
        <f>N53*VLOOKUP('Données projet'!$B$9,Paramètres!$A$1:$I$89,3,0)*VLOOKUP('Données projet'!$B$9,Paramètres!$A$1:$I$89,5,0)</f>
        <v>122.14799999999998</v>
      </c>
      <c r="P53" s="13">
        <f t="shared" si="33"/>
        <v>32.175466547071615</v>
      </c>
      <c r="Q53" s="20">
        <f t="shared" si="53"/>
        <v>268.78003756948306</v>
      </c>
      <c r="R53" s="59">
        <f t="shared" si="0"/>
        <v>562.11337090281631</v>
      </c>
      <c r="S53" s="59">
        <f ca="1">AVERAGE(OFFSET($R$3,0,0,'Données projet'!$E$9+1,1))-AVERAGE(OFFSET($H$3,0,0,'Données projet'!$E$9+1,1))</f>
        <v>138.8931001150624</v>
      </c>
      <c r="T53" s="59">
        <f t="shared" si="34"/>
        <v>48.964659354096625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214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213.99999999999974</v>
      </c>
      <c r="AJ53" s="13">
        <f>AI53*VLOOKUP('Données projet'!$B$10,Paramètres!$A$1:$I$89,3,0)*VLOOKUP('Données projet'!$B$10,Paramètres!$A$1:$I$89,5,0)</f>
        <v>186.9503999999998</v>
      </c>
      <c r="AK53" s="13">
        <f t="shared" si="35"/>
        <v>46.86509597661761</v>
      </c>
      <c r="AL53" s="20">
        <f t="shared" si="4"/>
        <v>407.2286554926086</v>
      </c>
      <c r="AM53" s="59">
        <f t="shared" si="5"/>
        <v>700.56198882594185</v>
      </c>
      <c r="AN53" s="59">
        <f ca="1">AVERAGE(OFFSET($AM$3,0,0,'Données projet'!$E$10+1,1))-AVERAGE(OFFSET($H$3,0,0,'Données projet'!$E$10+1,1))</f>
        <v>191.94797389630673</v>
      </c>
      <c r="AO53" s="59">
        <f t="shared" si="36"/>
        <v>273.52540822767878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8.0685440000076731</v>
      </c>
      <c r="AW53" s="21">
        <f>EXP(-LN(2)/2)*AW52+(1-EXP(-LN(2)/2))/(LN(2)/2)*AQ53*AT53*VLOOKUP('Données projet'!$B$10,Paramètres!$A$1:$I$89,3,0)*0.475*44/12</f>
        <v>2.2659241132489624E-2</v>
      </c>
      <c r="AX53" s="21">
        <f t="shared" si="6"/>
        <v>9.8238209160750092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273</v>
      </c>
      <c r="BB53" s="12">
        <f>VLOOKUP(A53,'Données projet'!$A$87:$I$107,9,0)</f>
        <v>9.5</v>
      </c>
      <c r="BC53" s="12">
        <f t="array" ref="BC53">INDEX(BB:BB,MIN(IF(ISNUMBER(BB53:BB249),ROW(BB53:BB249),"")))</f>
        <v>9.5</v>
      </c>
      <c r="BD53" s="12">
        <f>IF('Données projet'!$A$88&gt;35,BD52+BC53-BL52,IF(A53&lt;'Données projet'!$A$88,$BA$205^A53,IF(A53='Données projet'!$A$88,'Données projet'!$B$88,BD52+BC53-BL52)))</f>
        <v>273.00000000000006</v>
      </c>
      <c r="BE53" s="13">
        <f>BD53*VLOOKUP('Données projet'!$B$11,Paramètres!$A$1:$I$89,3,0)*VLOOKUP('Données projet'!$B$11,Paramètres!$A$1:$I$89,5,0)</f>
        <v>170.35200000000003</v>
      </c>
      <c r="BF53" s="13">
        <f t="shared" si="37"/>
        <v>43.168850382694487</v>
      </c>
      <c r="BG53" s="20">
        <f t="shared" si="7"/>
        <v>371.88214774985954</v>
      </c>
      <c r="BH53" s="59">
        <f t="shared" si="8"/>
        <v>665.2154810831928</v>
      </c>
      <c r="BI53" s="59">
        <f ca="1">AVERAGE(OFFSET($BH$3,0,0,'Données projet'!$E$11+1,1))-AVERAGE(OFFSET($H$3,0,0,'Données projet'!$E$11+1,1))</f>
        <v>162.91481796710048</v>
      </c>
      <c r="BJ53" s="59">
        <f t="shared" si="38"/>
        <v>182.56192390367823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1.871695012682804</v>
      </c>
      <c r="BQ53" s="21">
        <f>EXP(-LN(2)/25)*BQ52+(1-EXP(-LN(2)/25))/(LN(2)/25)*Calculateur!BL53*Calculateur!BN53*VLOOKUP('Données projet'!$B$11,Paramètres!$A$1:$I$89,3,0)*0.475*44/12</f>
        <v>8.7752500691515642</v>
      </c>
      <c r="BR53" s="21">
        <f>EXP(-LN(2)/2)*BR52+(1-EXP(-LN(2)/2))/(LN(2)/2)*BL53*BO53*VLOOKUP('Données projet'!$B$11,Paramètres!$A$1:$I$89,3,0)*0.475*44/12</f>
        <v>1.7548550200837326E-2</v>
      </c>
      <c r="BS53" s="22">
        <f t="shared" si="9"/>
        <v>10.664493632035205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241.4</v>
      </c>
      <c r="BW53" s="12">
        <f>VLOOKUP(A53,'Données projet'!$A$113:$I$133,9,0)</f>
        <v>7.0000000000000027</v>
      </c>
      <c r="BX53" s="12">
        <f t="array" ref="BX53">INDEX(BW:BW,MIN(IF(ISNUMBER(BW53:BW249),ROW(BW53:BW249),"")))</f>
        <v>7.0000000000000027</v>
      </c>
      <c r="BY53" s="12">
        <f>IF('Données projet'!$A$114&gt;35,BY52+BX53-CG52,IF(A53&lt;'Données projet'!$A$114,$BV$205^A53,IF(A53='Données projet'!$A$114,'Données projet'!$B$114,BY52+BX53-CG52)))</f>
        <v>241.39999999999998</v>
      </c>
      <c r="BZ53" s="13">
        <f>BY53*VLOOKUP('Données projet'!$B$12,Paramètres!$A$1:$I$89,3,0)*VLOOKUP('Données projet'!$B$12,Paramètres!$A$1:$I$89,5,0)</f>
        <v>112.97519999999999</v>
      </c>
      <c r="CA53" s="13">
        <f t="shared" si="39"/>
        <v>30.030872399306435</v>
      </c>
      <c r="CB53" s="20">
        <f t="shared" si="10"/>
        <v>249.06890942879204</v>
      </c>
      <c r="CC53" s="59">
        <f t="shared" si="11"/>
        <v>542.4022427621253</v>
      </c>
      <c r="CD53" s="59">
        <f ca="1">AVERAGE(OFFSET($CC$3,0,0,'Données projet'!$E$12+1,1))-AVERAGE(OFFSET($H$3,0,0,'Données projet'!$E$12+1,1))</f>
        <v>123.60520571614535</v>
      </c>
      <c r="CE53" s="59">
        <f t="shared" si="40"/>
        <v>119.00926870519527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46.3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0.58365132426738375</v>
      </c>
      <c r="CL53" s="21">
        <f>EXP(-LN(2)/25)*CL52+(1-EXP(-LN(2)/25))/(LN(2)/25)*Calculateur!CG53*Calculateur!CI53*VLOOKUP('Données projet'!$B$12,Paramètres!$A$1:$I$89,3,0)*0.475*44/12</f>
        <v>2.7435271451387395</v>
      </c>
      <c r="CM53" s="21">
        <f>EXP(-LN(2)/2)*CM52+(1-EXP(-LN(2)/2))/(LN(2)/2)*CG53*CJ53*VLOOKUP('Données projet'!$B$12,Paramètres!$A$1:$I$89,3,0)*0.475*44/12</f>
        <v>5.9704204014477983E-3</v>
      </c>
      <c r="CN53" s="22">
        <f t="shared" si="12"/>
        <v>3.3331488898075712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141.10199999999998</v>
      </c>
      <c r="CV53" s="13">
        <f t="shared" si="41"/>
        <v>36.549342904663185</v>
      </c>
      <c r="CW53" s="20">
        <f t="shared" si="13"/>
        <v>309.40942222562165</v>
      </c>
      <c r="CX53" s="59">
        <f t="shared" si="14"/>
        <v>602.74275555895497</v>
      </c>
      <c r="CY53" s="59">
        <f ca="1">AVERAGE(OFFSET($CX$3,0,0,'Données projet'!$E$13+1,1))-AVERAGE(OFFSET($H$3,0,0,'Données projet'!$E$13+1,1))</f>
        <v>177.94336949486529</v>
      </c>
      <c r="CZ53" s="59">
        <f t="shared" si="42"/>
        <v>65.559373432574603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284</v>
      </c>
      <c r="DM53" s="12">
        <f>VLOOKUP(A53,'Données projet'!$A$165:$I$185,9,0)</f>
        <v>10.7</v>
      </c>
      <c r="DN53" s="12">
        <f t="array" ref="DN53">INDEX(DM:DM,MIN(IF(ISNUMBER(DM53:DM249),ROW(DM53:DM249),"")))</f>
        <v>10.7</v>
      </c>
      <c r="DO53" s="12">
        <f>IF('Données projet'!$A$166&gt;35,DO52+DN53-DW52,IF(A53&lt;'Données projet'!$A$166,$DL$205^A53,IF(A53='Données projet'!$A$166,'Données projet'!$B$166,DO52+DN53-DW52)))</f>
        <v>283.99999999999989</v>
      </c>
      <c r="DP53" s="17">
        <f>DO53*VLOOKUP('Données projet'!$B$14,Paramètres!$A$1:$I$89,3,0)*VLOOKUP('Données projet'!$B$14,Paramètres!$A$1:$I$89,5,0)</f>
        <v>169.83199999999997</v>
      </c>
      <c r="DQ53" s="13">
        <f t="shared" si="43"/>
        <v>43.052395009050464</v>
      </c>
      <c r="DR53" s="20">
        <f t="shared" si="16"/>
        <v>370.7736546407628</v>
      </c>
      <c r="DS53" s="59">
        <f t="shared" si="17"/>
        <v>664.10698797409611</v>
      </c>
      <c r="DT53" s="59">
        <f ca="1">AVERAGE(OFFSET($DS$3,0,0,'Données projet'!$E$14+1,1))-AVERAGE(OFFSET($H$3,0,0,'Données projet'!$E$14+1,1))</f>
        <v>165.39579887388538</v>
      </c>
      <c r="DU53" s="59">
        <f t="shared" si="44"/>
        <v>155.89639262545802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56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4.18657196188384</v>
      </c>
      <c r="EC53" s="21">
        <f>EXP(-LN(2)/2)*EC52+(1-EXP(-LN(2)/2))/(LN(2)/2)*DW53*DZ53*VLOOKUP('Données projet'!$B$14,Paramètres!$A$1:$I$89,3,0)*0.475*44/12</f>
        <v>1.3554722397829054E-2</v>
      </c>
      <c r="ED53" s="22">
        <f t="shared" si="18"/>
        <v>4.2001266842816687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490</v>
      </c>
      <c r="EH53" s="12">
        <f>VLOOKUP(A53,'Données projet'!$A$191:$I$211,9,0)</f>
        <v>19.2</v>
      </c>
      <c r="EI53" s="12">
        <f t="array" ref="EI53">INDEX(EH:EH,MIN(IF(ISNUMBER(EH53:EH249),ROW(EH53:EH249),"")))</f>
        <v>19.2</v>
      </c>
      <c r="EJ53" s="12">
        <f>IF('Données projet'!$A$192&gt;35,EJ52+EI53-ER52,IF(A53&lt;'Données projet'!$A$192,$EG$205^A53,IF(A53='Données projet'!$A$192,'Données projet'!$B$192,EJ52+EI53-ER52)))</f>
        <v>489.99999999999977</v>
      </c>
      <c r="EK53" s="17">
        <f>EJ53*VLOOKUP('Données projet'!$B$15,Paramètres!$A$1:$I$89,3,0)*VLOOKUP('Données projet'!$B$15,Paramètres!$A$1:$I$89,5,0)</f>
        <v>235.68999999999991</v>
      </c>
      <c r="EL53" s="13">
        <f t="shared" si="45"/>
        <v>57.511237238087972</v>
      </c>
      <c r="EM53" s="20">
        <f t="shared" si="19"/>
        <v>510.65882152300293</v>
      </c>
      <c r="EN53" s="59">
        <f t="shared" si="20"/>
        <v>803.99215485633624</v>
      </c>
      <c r="EO53" s="59">
        <f ca="1">AVERAGE(OFFSET($EN$3,0,0,'Données projet'!$E$15+1,1))-AVERAGE(OFFSET($H$3,0,0,'Données projet'!$E$15+1,1))</f>
        <v>252.30925789500111</v>
      </c>
      <c r="EP53" s="59">
        <f t="shared" si="46"/>
        <v>213.96033794804805</v>
      </c>
      <c r="EQ53" s="15">
        <f>IF(ISNA(VLOOKUP(A53,'Données projet'!$A$191:$I$211,3,0)),0,VLOOKUP(A53,'Données projet'!$A$191:$I$211,3,0))</f>
        <v>3</v>
      </c>
      <c r="ER53" s="15">
        <f>IF(ISNA(VLOOKUP(A53,'Données projet'!$A$191:$I$211,4,0)),0,VLOOKUP(A53,'Données projet'!$A$191:$I$211,4,0))</f>
        <v>98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3.1174027424780202</v>
      </c>
      <c r="EW53" s="21">
        <f>EXP(-LN(2)/25)*EW52+(1-EXP(-LN(2)/25))/(LN(2)/25)*Calculateur!ER53*Calculateur!ET53*VLOOKUP('Données projet'!$B$15,Paramètres!$A$1:$I$89,3,0)*0.475*44/12</f>
        <v>5.3003273731647802</v>
      </c>
      <c r="EX53" s="21">
        <f>EXP(-LN(2)/2)*EX52+(1-EXP(-LN(2)/2))/(LN(2)/2)*ER53*EU53*VLOOKUP('Données projet'!$B$15,Paramètres!$A$1:$I$89,3,0)*0.475*44/12</f>
        <v>1.4040565045810633E-2</v>
      </c>
      <c r="EY53" s="22">
        <f t="shared" si="21"/>
        <v>8.4317706806886115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490</v>
      </c>
      <c r="FC53" s="12">
        <f>VLOOKUP(A53,'Données projet'!$A$217:$I$237,9,0)</f>
        <v>19.2</v>
      </c>
      <c r="FD53" s="12">
        <f t="array" ref="FD53">INDEX(FC:FC,MIN(IF(ISNUMBER(FC53:FC249),ROW(FC53:FC249),"")))</f>
        <v>19.2</v>
      </c>
      <c r="FE53" s="12">
        <f>IF('Données projet'!$A$218&gt;35,FE52+FD53-FM52,IF(A53&lt;'Données projet'!$A$218,$FB$205^A53,IF(A53='Données projet'!$A$218,'Données projet'!$B$218,FE52+FD53-FM52)))</f>
        <v>489.99999999999977</v>
      </c>
      <c r="FF53" s="17">
        <f>FE53*VLOOKUP('Données projet'!$B$16,Paramètres!$A$1:$I$89,3,0)*VLOOKUP('Données projet'!$B$16,Paramètres!$A$1:$I$89,5,0)</f>
        <v>235.68999999999991</v>
      </c>
      <c r="FG53" s="13">
        <f t="shared" si="47"/>
        <v>57.511237238087972</v>
      </c>
      <c r="FH53" s="20">
        <f t="shared" si="22"/>
        <v>510.65882152300293</v>
      </c>
      <c r="FI53" s="59">
        <f t="shared" si="23"/>
        <v>803.99215485633624</v>
      </c>
      <c r="FJ53" s="59">
        <f ca="1">AVERAGE(OFFSET($FI$3,0,0,'Données projet'!$E$16+1,1))-AVERAGE(OFFSET($H$3,0,0,'Données projet'!$E$16+1,1))</f>
        <v>252.30925789500111</v>
      </c>
      <c r="FK53" s="59">
        <f t="shared" si="48"/>
        <v>213.96033794804805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98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3.1174027424780202</v>
      </c>
      <c r="FR53" s="21">
        <f>EXP(-LN(2)/25)*FR52+(1-EXP(-LN(2)/25))/(LN(2)/25)*Calculateur!FM53*Calculateur!FO53*VLOOKUP('Données projet'!$B$16,Paramètres!$A$1:$I$89,3,0)*0.475*44/12</f>
        <v>5.3003273731647802</v>
      </c>
      <c r="FS53" s="21">
        <f>EXP(-LN(2)/2)*FS52+(1-EXP(-LN(2)/2))/(LN(2)/2)*FM53*FP53*VLOOKUP('Données projet'!$B$16,Paramètres!$A$1:$I$89,3,0)*0.475*44/12</f>
        <v>1.4040565045810633E-2</v>
      </c>
      <c r="FT53" s="22">
        <f t="shared" si="24"/>
        <v>8.4317706806886115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5.125</v>
      </c>
      <c r="FZ53" s="12">
        <f>IF('Données projet'!$A$244&gt;35,FZ52+FY53-GH52,IF(A53&lt;'Données projet'!$A$244,$FW$205^A53,IF(A53='Données projet'!$A$244,'Données projet'!$B$244,FZ52+FY53-GH52)))</f>
        <v>225.5</v>
      </c>
      <c r="GA53" s="17">
        <f>FZ53*VLOOKUP('Données projet'!$B$17,Paramètres!$A$1:$I$89,3,0)*VLOOKUP('Données projet'!$B$17,Paramètres!$A$1:$I$89,5,0)</f>
        <v>134.84900000000002</v>
      </c>
      <c r="GB53" s="13">
        <f t="shared" si="49"/>
        <v>35.114421608496684</v>
      </c>
      <c r="GC53" s="20">
        <f t="shared" si="25"/>
        <v>296.01962596813172</v>
      </c>
      <c r="GD53" s="59">
        <f t="shared" si="26"/>
        <v>589.35295930146503</v>
      </c>
      <c r="GE53" s="59">
        <f ca="1">AVERAGE(OFFSET($GD$3,0,0,'Données projet'!$E$17+1,1))-AVERAGE(OFFSET($H$3,0,0,'Données projet'!$E$17+1,1))</f>
        <v>117.54638373164624</v>
      </c>
      <c r="GF53" s="59">
        <f t="shared" si="50"/>
        <v>133.0740262536583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1.4887666118917335</v>
      </c>
      <c r="GM53" s="21">
        <f>EXP(-LN(2)/25)*GM52+(1-EXP(-LN(2)/25))/(LN(2)/25)*Calculateur!GH53*Calculateur!GJ53*VLOOKUP('Données projet'!$B$17,Paramètres!$A$1:$I$89,3,0)*0.475*44/12</f>
        <v>4.9713305394417961</v>
      </c>
      <c r="GN53" s="21">
        <f>EXP(-LN(2)/2)*GN52+(1-EXP(-LN(2)/2))/(LN(2)/2)*GH53*GK53*VLOOKUP('Données projet'!$B$17,Paramètres!$A$1:$I$89,3,0)*0.475*44/12</f>
        <v>3.9507056744891994E-3</v>
      </c>
      <c r="GO53" s="21">
        <f t="shared" si="27"/>
        <v>6.4640478570080191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2.8421709430404007E-14</v>
      </c>
      <c r="GV53" s="17">
        <f>GU53*VLOOKUP('Données projet'!$B$18,Paramètres!$A$1:$I$89,3,0)*VLOOKUP('Données projet'!$B$18,Paramètres!$A$1:$I$89,5,0)</f>
        <v>1.3567387213697657E-14</v>
      </c>
      <c r="GW53" s="13">
        <f t="shared" si="51"/>
        <v>2.5717320947985821E-13</v>
      </c>
      <c r="GX53" s="20">
        <f t="shared" si="28"/>
        <v>4.7153987257460977E-13</v>
      </c>
      <c r="GY53" s="59">
        <f t="shared" si="29"/>
        <v>293.33333333333377</v>
      </c>
      <c r="GZ53" s="59">
        <f ca="1">AVERAGE(OFFSET($GY$3,0,0,'Données projet'!$E$18+1,1))-AVERAGE(OFFSET($H$3,0,0,'Données projet'!$E$18+1,1))</f>
        <v>43.147469606759159</v>
      </c>
      <c r="HA53" s="59">
        <f t="shared" si="52"/>
        <v>147.46995307968473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24.267960536412648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5.3826118870721625E-4</v>
      </c>
      <c r="HJ53" s="22">
        <f t="shared" si="30"/>
        <v>24.268498797601357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5.5</v>
      </c>
      <c r="N54" s="13">
        <f>IF('Données projet'!$A$36&gt;35,N53+M54-V53,IF(A54&lt;'Données projet'!$A$36,$K$205^A54,IF(A54='Données projet'!$A$36,'Données projet'!$B$36,N53+M54-V53)))</f>
        <v>112.49999999999997</v>
      </c>
      <c r="O54" s="13">
        <f>N54*VLOOKUP('Données projet'!$B$9,Paramètres!$A$1:$I$89,3,0)*VLOOKUP('Données projet'!$B$9,Paramètres!$A$1:$I$89,5,0)</f>
        <v>101.78999999999998</v>
      </c>
      <c r="P54" s="13">
        <f t="shared" si="33"/>
        <v>27.38799903683508</v>
      </c>
      <c r="Q54" s="20">
        <f t="shared" si="53"/>
        <v>224.98501498915437</v>
      </c>
      <c r="R54" s="59">
        <f t="shared" si="0"/>
        <v>518.31834832248774</v>
      </c>
      <c r="S54" s="59">
        <f ca="1">AVERAGE(OFFSET($R$3,0,0,'Données projet'!$E$9+1,1))-AVERAGE(OFFSET($H$3,0,0,'Données projet'!$E$9+1,1))</f>
        <v>138.8931001150624</v>
      </c>
      <c r="T54" s="59">
        <f t="shared" si="34"/>
        <v>48.964659354096625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169.59999999999974</v>
      </c>
      <c r="AJ54" s="13">
        <f>AI54*VLOOKUP('Données projet'!$B$10,Paramètres!$A$1:$I$89,3,0)*VLOOKUP('Données projet'!$B$10,Paramètres!$A$1:$I$89,5,0)</f>
        <v>148.16255999999979</v>
      </c>
      <c r="AK54" s="13">
        <f t="shared" si="35"/>
        <v>38.160721728430708</v>
      </c>
      <c r="AL54" s="20">
        <f t="shared" si="4"/>
        <v>324.51304901034973</v>
      </c>
      <c r="AM54" s="59">
        <f t="shared" si="5"/>
        <v>617.84638234368299</v>
      </c>
      <c r="AN54" s="59">
        <f ca="1">AVERAGE(OFFSET($AM$3,0,0,'Données projet'!$E$10+1,1))-AVERAGE(OFFSET($H$3,0,0,'Données projet'!$E$10+1,1))</f>
        <v>191.94797389630673</v>
      </c>
      <c r="AO54" s="59">
        <f t="shared" si="36"/>
        <v>273.52540822767878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7.847909240021175</v>
      </c>
      <c r="AW54" s="21">
        <f>EXP(-LN(2)/2)*AW53+(1-EXP(-LN(2)/2))/(LN(2)/2)*AQ54*AT54*VLOOKUP('Données projet'!$B$10,Paramètres!$A$1:$I$89,3,0)*0.475*44/12</f>
        <v>1.6022503061324557E-2</v>
      </c>
      <c r="AX54" s="21">
        <f t="shared" si="6"/>
        <v>9.562573842204305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228.40000000000003</v>
      </c>
      <c r="BE54" s="13">
        <f>BD54*VLOOKUP('Données projet'!$B$11,Paramètres!$A$1:$I$89,3,0)*VLOOKUP('Données projet'!$B$11,Paramètres!$A$1:$I$89,5,0)</f>
        <v>142.52160000000003</v>
      </c>
      <c r="BF54" s="13">
        <f t="shared" si="37"/>
        <v>36.874067121893944</v>
      </c>
      <c r="BG54" s="20">
        <f t="shared" si="7"/>
        <v>312.44745357063204</v>
      </c>
      <c r="BH54" s="59">
        <f t="shared" si="8"/>
        <v>605.78078690396535</v>
      </c>
      <c r="BI54" s="59">
        <f ca="1">AVERAGE(OFFSET($BH$3,0,0,'Données projet'!$E$11+1,1))-AVERAGE(OFFSET($H$3,0,0,'Données projet'!$E$11+1,1))</f>
        <v>162.91481796710048</v>
      </c>
      <c r="BJ54" s="59">
        <f t="shared" si="38"/>
        <v>182.56192390367823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1.8349922151053262</v>
      </c>
      <c r="BQ54" s="21">
        <f>EXP(-LN(2)/25)*BQ53+(1-EXP(-LN(2)/25))/(LN(2)/25)*Calculateur!BL54*Calculateur!BN54*VLOOKUP('Données projet'!$B$11,Paramètres!$A$1:$I$89,3,0)*0.475*44/12</f>
        <v>8.5352903945402705</v>
      </c>
      <c r="BR54" s="21">
        <f>EXP(-LN(2)/2)*BR53+(1-EXP(-LN(2)/2))/(LN(2)/2)*BL54*BO54*VLOOKUP('Données projet'!$B$11,Paramètres!$A$1:$I$89,3,0)*0.475*44/12</f>
        <v>1.2408698847004624E-2</v>
      </c>
      <c r="BS54" s="22">
        <f t="shared" si="9"/>
        <v>10.3826913084926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203.09999999999997</v>
      </c>
      <c r="BZ54" s="13">
        <f>BY54*VLOOKUP('Données projet'!$B$12,Paramètres!$A$1:$I$89,3,0)*VLOOKUP('Données projet'!$B$12,Paramètres!$A$1:$I$89,5,0)</f>
        <v>95.050799999999981</v>
      </c>
      <c r="CA54" s="13">
        <f t="shared" si="39"/>
        <v>25.779458396145792</v>
      </c>
      <c r="CB54" s="20">
        <f t="shared" si="10"/>
        <v>210.44603337328724</v>
      </c>
      <c r="CC54" s="59">
        <f t="shared" si="11"/>
        <v>503.77936670662052</v>
      </c>
      <c r="CD54" s="59">
        <f ca="1">AVERAGE(OFFSET($CC$3,0,0,'Données projet'!$E$12+1,1))-AVERAGE(OFFSET($H$3,0,0,'Données projet'!$E$12+1,1))</f>
        <v>123.60520571614535</v>
      </c>
      <c r="CE54" s="59">
        <f t="shared" si="40"/>
        <v>119.00926870519527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0.5722062777906568</v>
      </c>
      <c r="CL54" s="21">
        <f>EXP(-LN(2)/25)*CL53+(1-EXP(-LN(2)/25))/(LN(2)/25)*Calculateur!CG54*Calculateur!CI54*VLOOKUP('Données projet'!$B$12,Paramètres!$A$1:$I$89,3,0)*0.475*44/12</f>
        <v>2.6685052510790985</v>
      </c>
      <c r="CM54" s="21">
        <f>EXP(-LN(2)/2)*CM53+(1-EXP(-LN(2)/2))/(LN(2)/2)*CG54*CJ54*VLOOKUP('Données projet'!$B$12,Paramètres!$A$1:$I$89,3,0)*0.475*44/12</f>
        <v>4.2217247523982475E-3</v>
      </c>
      <c r="CN54" s="22">
        <f t="shared" si="12"/>
        <v>3.2449332536221536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5.5</v>
      </c>
      <c r="CT54" s="12">
        <f>IF('Données projet'!$A$140&gt;35,CT53+CS54-DB53,IF(A54&lt;'Données projet'!$A$140,$CQ$205^A54,IF(A54='Données projet'!$A$140,'Données projet'!$B$140,CT53+CS54-DB53)))</f>
        <v>112.49999999999997</v>
      </c>
      <c r="CU54" s="17">
        <f>CT54*VLOOKUP('Données projet'!$B$13,Paramètres!$A$1:$I$89,3,0)*VLOOKUP('Données projet'!$B$13,Paramètres!$A$1:$I$89,5,0)</f>
        <v>117.58499999999998</v>
      </c>
      <c r="CV54" s="13">
        <f t="shared" si="41"/>
        <v>31.111075477504603</v>
      </c>
      <c r="CW54" s="20">
        <f t="shared" si="13"/>
        <v>258.97899812332048</v>
      </c>
      <c r="CX54" s="59">
        <f t="shared" si="14"/>
        <v>552.31233145665374</v>
      </c>
      <c r="CY54" s="59">
        <f ca="1">AVERAGE(OFFSET($CX$3,0,0,'Données projet'!$E$13+1,1))-AVERAGE(OFFSET($H$3,0,0,'Données projet'!$E$13+1,1))</f>
        <v>177.94336949486529</v>
      </c>
      <c r="CZ54" s="59">
        <f t="shared" si="42"/>
        <v>65.559373432574603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9.6</v>
      </c>
      <c r="DO54" s="12">
        <f>IF('Données projet'!$A$166&gt;35,DO53+DN54-DW53,IF(A54&lt;'Données projet'!$A$166,$DL$205^A54,IF(A54='Données projet'!$A$166,'Données projet'!$B$166,DO53+DN54-DW53)))</f>
        <v>237.59999999999991</v>
      </c>
      <c r="DP54" s="17">
        <f>DO54*VLOOKUP('Données projet'!$B$14,Paramètres!$A$1:$I$89,3,0)*VLOOKUP('Données projet'!$B$14,Paramètres!$A$1:$I$89,5,0)</f>
        <v>142.08479999999994</v>
      </c>
      <c r="DQ54" s="13">
        <f t="shared" si="43"/>
        <v>36.77419224965486</v>
      </c>
      <c r="DR54" s="20">
        <f t="shared" si="16"/>
        <v>311.51274483481546</v>
      </c>
      <c r="DS54" s="59">
        <f t="shared" si="17"/>
        <v>604.84607816814878</v>
      </c>
      <c r="DT54" s="59">
        <f ca="1">AVERAGE(OFFSET($DS$3,0,0,'Données projet'!$E$14+1,1))-AVERAGE(OFFSET($H$3,0,0,'Données projet'!$E$14+1,1))</f>
        <v>165.39579887388538</v>
      </c>
      <c r="DU54" s="59">
        <f t="shared" si="44"/>
        <v>155.89639262545802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4.072089931423875</v>
      </c>
      <c r="EC54" s="21">
        <f>EXP(-LN(2)/2)*EC53+(1-EXP(-LN(2)/2))/(LN(2)/2)*DW54*DZ54*VLOOKUP('Données projet'!$B$14,Paramètres!$A$1:$I$89,3,0)*0.475*44/12</f>
        <v>9.5846361246061038E-3</v>
      </c>
      <c r="ED54" s="22">
        <f t="shared" si="18"/>
        <v>4.0816745675484807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17.3</v>
      </c>
      <c r="EJ54" s="12">
        <f>IF('Données projet'!$A$192&gt;35,EJ53+EI54-ER53,IF(A54&lt;'Données projet'!$A$192,$EG$205^A54,IF(A54='Données projet'!$A$192,'Données projet'!$B$192,EJ53+EI54-ER53)))</f>
        <v>409.29999999999978</v>
      </c>
      <c r="EK54" s="17">
        <f>EJ54*VLOOKUP('Données projet'!$B$15,Paramètres!$A$1:$I$89,3,0)*VLOOKUP('Données projet'!$B$15,Paramètres!$A$1:$I$89,5,0)</f>
        <v>196.87329999999989</v>
      </c>
      <c r="EL54" s="13">
        <f t="shared" si="45"/>
        <v>49.056384812793937</v>
      </c>
      <c r="EM54" s="20">
        <f t="shared" si="19"/>
        <v>428.32753438228252</v>
      </c>
      <c r="EN54" s="59">
        <f t="shared" si="20"/>
        <v>721.66086771561584</v>
      </c>
      <c r="EO54" s="59">
        <f ca="1">AVERAGE(OFFSET($EN$3,0,0,'Données projet'!$E$15+1,1))-AVERAGE(OFFSET($H$3,0,0,'Données projet'!$E$15+1,1))</f>
        <v>252.30925789500111</v>
      </c>
      <c r="EP54" s="59">
        <f t="shared" si="46"/>
        <v>213.96033794804805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3.0562723761259485</v>
      </c>
      <c r="EW54" s="21">
        <f>EXP(-LN(2)/25)*EW53+(1-EXP(-LN(2)/25))/(LN(2)/25)*Calculateur!ER54*Calculateur!ET54*VLOOKUP('Données projet'!$B$15,Paramètres!$A$1:$I$89,3,0)*0.475*44/12</f>
        <v>5.1553896424134864</v>
      </c>
      <c r="EX54" s="21">
        <f>EXP(-LN(2)/2)*EX53+(1-EXP(-LN(2)/2))/(LN(2)/2)*ER54*EU54*VLOOKUP('Données projet'!$B$15,Paramètres!$A$1:$I$89,3,0)*0.475*44/12</f>
        <v>9.9281787555835065E-3</v>
      </c>
      <c r="EY54" s="22">
        <f t="shared" si="21"/>
        <v>8.2215901972950185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17.3</v>
      </c>
      <c r="FE54" s="12">
        <f>IF('Données projet'!$A$218&gt;35,FE53+FD54-FM53,IF(A54&lt;'Données projet'!$A$218,$FB$205^A54,IF(A54='Données projet'!$A$218,'Données projet'!$B$218,FE53+FD54-FM53)))</f>
        <v>409.29999999999978</v>
      </c>
      <c r="FF54" s="17">
        <f>FE54*VLOOKUP('Données projet'!$B$16,Paramètres!$A$1:$I$89,3,0)*VLOOKUP('Données projet'!$B$16,Paramètres!$A$1:$I$89,5,0)</f>
        <v>196.87329999999989</v>
      </c>
      <c r="FG54" s="13">
        <f t="shared" si="47"/>
        <v>49.056384812793937</v>
      </c>
      <c r="FH54" s="20">
        <f t="shared" si="22"/>
        <v>428.32753438228252</v>
      </c>
      <c r="FI54" s="59">
        <f t="shared" si="23"/>
        <v>721.66086771561584</v>
      </c>
      <c r="FJ54" s="59">
        <f ca="1">AVERAGE(OFFSET($FI$3,0,0,'Données projet'!$E$16+1,1))-AVERAGE(OFFSET($H$3,0,0,'Données projet'!$E$16+1,1))</f>
        <v>252.30925789500111</v>
      </c>
      <c r="FK54" s="59">
        <f t="shared" si="48"/>
        <v>213.96033794804805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3.0562723761259485</v>
      </c>
      <c r="FR54" s="21">
        <f>EXP(-LN(2)/25)*FR53+(1-EXP(-LN(2)/25))/(LN(2)/25)*Calculateur!FM54*Calculateur!FO54*VLOOKUP('Données projet'!$B$16,Paramètres!$A$1:$I$89,3,0)*0.475*44/12</f>
        <v>5.1553896424134864</v>
      </c>
      <c r="FS54" s="21">
        <f>EXP(-LN(2)/2)*FS53+(1-EXP(-LN(2)/2))/(LN(2)/2)*FM54*FP54*VLOOKUP('Données projet'!$B$16,Paramètres!$A$1:$I$89,3,0)*0.475*44/12</f>
        <v>9.9281787555835065E-3</v>
      </c>
      <c r="FT54" s="22">
        <f t="shared" si="24"/>
        <v>8.2215901972950185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5.125</v>
      </c>
      <c r="FZ54" s="12">
        <f>IF('Données projet'!$A$244&gt;35,FZ53+FY54-GH53,IF(A54&lt;'Données projet'!$A$244,$FW$205^A54,IF(A54='Données projet'!$A$244,'Données projet'!$B$244,FZ53+FY54-GH53)))</f>
        <v>230.625</v>
      </c>
      <c r="GA54" s="17">
        <f>FZ54*VLOOKUP('Données projet'!$B$17,Paramètres!$A$1:$I$89,3,0)*VLOOKUP('Données projet'!$B$17,Paramètres!$A$1:$I$89,5,0)</f>
        <v>137.91375000000002</v>
      </c>
      <c r="GB54" s="13">
        <f t="shared" si="49"/>
        <v>35.818658097691937</v>
      </c>
      <c r="GC54" s="20">
        <f t="shared" si="25"/>
        <v>302.58394410348018</v>
      </c>
      <c r="GD54" s="59">
        <f t="shared" si="26"/>
        <v>595.91727743681349</v>
      </c>
      <c r="GE54" s="59">
        <f ca="1">AVERAGE(OFFSET($GD$3,0,0,'Données projet'!$E$17+1,1))-AVERAGE(OFFSET($H$3,0,0,'Données projet'!$E$17+1,1))</f>
        <v>117.54638373164624</v>
      </c>
      <c r="GF54" s="59">
        <f t="shared" si="50"/>
        <v>133.0740262536583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1.4595728066905067</v>
      </c>
      <c r="GM54" s="21">
        <f>EXP(-LN(2)/25)*GM53+(1-EXP(-LN(2)/25))/(LN(2)/25)*Calculateur!GH54*Calculateur!GJ54*VLOOKUP('Données projet'!$B$17,Paramètres!$A$1:$I$89,3,0)*0.475*44/12</f>
        <v>4.835389244409849</v>
      </c>
      <c r="GN54" s="21">
        <f>EXP(-LN(2)/2)*GN53+(1-EXP(-LN(2)/2))/(LN(2)/2)*GH54*GK54*VLOOKUP('Données projet'!$B$17,Paramètres!$A$1:$I$89,3,0)*0.475*44/12</f>
        <v>2.793570772903486E-3</v>
      </c>
      <c r="GO54" s="21">
        <f t="shared" si="27"/>
        <v>6.2977556218732591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2.8421709430404007E-14</v>
      </c>
      <c r="GV54" s="17">
        <f>GU54*VLOOKUP('Données projet'!$B$18,Paramètres!$A$1:$I$89,3,0)*VLOOKUP('Données projet'!$B$18,Paramètres!$A$1:$I$89,5,0)</f>
        <v>1.3567387213697657E-14</v>
      </c>
      <c r="GW54" s="13">
        <f t="shared" si="51"/>
        <v>2.5717320947985821E-13</v>
      </c>
      <c r="GX54" s="20">
        <f t="shared" si="28"/>
        <v>4.7153987257460977E-13</v>
      </c>
      <c r="GY54" s="59">
        <f t="shared" si="29"/>
        <v>293.33333333333377</v>
      </c>
      <c r="GZ54" s="59">
        <f ca="1">AVERAGE(OFFSET($GY$3,0,0,'Données projet'!$E$18+1,1))-AVERAGE(OFFSET($H$3,0,0,'Données projet'!$E$18+1,1))</f>
        <v>43.147469606759159</v>
      </c>
      <c r="HA54" s="59">
        <f t="shared" si="52"/>
        <v>147.46995307968473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23.792080632287949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3.8060813658440454E-4</v>
      </c>
      <c r="HJ54" s="22">
        <f t="shared" si="30"/>
        <v>23.792461240424533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5.5</v>
      </c>
      <c r="N55" s="13">
        <f>IF('Données projet'!$A$36&gt;35,N54+M55-V54,IF(A55&lt;'Données projet'!$A$36,$K$205^A55,IF(A55='Données projet'!$A$36,'Données projet'!$B$36,N54+M55-V54)))</f>
        <v>117.99999999999997</v>
      </c>
      <c r="O55" s="13">
        <f>N55*VLOOKUP('Données projet'!$B$9,Paramètres!$A$1:$I$89,3,0)*VLOOKUP('Données projet'!$B$9,Paramètres!$A$1:$I$89,5,0)</f>
        <v>106.76639999999998</v>
      </c>
      <c r="P55" s="13">
        <f t="shared" si="33"/>
        <v>28.5678052620942</v>
      </c>
      <c r="Q55" s="20">
        <f t="shared" si="53"/>
        <v>235.707074164814</v>
      </c>
      <c r="R55" s="59">
        <f t="shared" si="0"/>
        <v>529.04040749814726</v>
      </c>
      <c r="S55" s="59">
        <f ca="1">AVERAGE(OFFSET($R$3,0,0,'Données projet'!$E$9+1,1))-AVERAGE(OFFSET($H$3,0,0,'Données projet'!$E$9+1,1))</f>
        <v>138.8931001150624</v>
      </c>
      <c r="T55" s="59">
        <f t="shared" si="34"/>
        <v>48.964659354096625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175.19999999999973</v>
      </c>
      <c r="AJ55" s="13">
        <f>AI55*VLOOKUP('Données projet'!$B$10,Paramètres!$A$1:$I$89,3,0)*VLOOKUP('Données projet'!$B$10,Paramètres!$A$1:$I$89,5,0)</f>
        <v>153.05471999999978</v>
      </c>
      <c r="AK55" s="13">
        <f t="shared" si="35"/>
        <v>39.27196508838513</v>
      </c>
      <c r="AL55" s="20">
        <f t="shared" si="4"/>
        <v>334.96897652893705</v>
      </c>
      <c r="AM55" s="59">
        <f t="shared" si="5"/>
        <v>628.30230986227036</v>
      </c>
      <c r="AN55" s="59">
        <f ca="1">AVERAGE(OFFSET($AM$3,0,0,'Données projet'!$E$10+1,1))-AVERAGE(OFFSET($H$3,0,0,'Données projet'!$E$10+1,1))</f>
        <v>191.94797389630673</v>
      </c>
      <c r="AO55" s="59">
        <f t="shared" si="36"/>
        <v>273.52540822767878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7.6333077491491856</v>
      </c>
      <c r="AW55" s="21">
        <f>EXP(-LN(2)/2)*AW54+(1-EXP(-LN(2)/2))/(LN(2)/2)*AQ55*AT55*VLOOKUP('Données projet'!$B$10,Paramètres!$A$1:$I$89,3,0)*0.475*44/12</f>
        <v>1.1329620566244812E-2</v>
      </c>
      <c r="AX55" s="21">
        <f t="shared" si="6"/>
        <v>9.3099701333428353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235.80000000000004</v>
      </c>
      <c r="BE55" s="13">
        <f>BD55*VLOOKUP('Données projet'!$B$11,Paramètres!$A$1:$I$89,3,0)*VLOOKUP('Données projet'!$B$11,Paramètres!$A$1:$I$89,5,0)</f>
        <v>147.13920000000002</v>
      </c>
      <c r="BF55" s="13">
        <f t="shared" si="37"/>
        <v>37.92773174647715</v>
      </c>
      <c r="BG55" s="20">
        <f t="shared" si="7"/>
        <v>322.32490612511435</v>
      </c>
      <c r="BH55" s="59">
        <f t="shared" si="8"/>
        <v>615.65823945844772</v>
      </c>
      <c r="BI55" s="59">
        <f ca="1">AVERAGE(OFFSET($BH$3,0,0,'Données projet'!$E$11+1,1))-AVERAGE(OFFSET($H$3,0,0,'Données projet'!$E$11+1,1))</f>
        <v>162.91481796710048</v>
      </c>
      <c r="BJ55" s="59">
        <f t="shared" si="38"/>
        <v>182.56192390367823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1.7990091370018466</v>
      </c>
      <c r="BQ55" s="21">
        <f>EXP(-LN(2)/25)*BQ54+(1-EXP(-LN(2)/25))/(LN(2)/25)*Calculateur!BL55*Calculateur!BN55*VLOOKUP('Données projet'!$B$11,Paramètres!$A$1:$I$89,3,0)*0.475*44/12</f>
        <v>8.3018924298501524</v>
      </c>
      <c r="BR55" s="21">
        <f>EXP(-LN(2)/2)*BR54+(1-EXP(-LN(2)/2))/(LN(2)/2)*BL55*BO55*VLOOKUP('Données projet'!$B$11,Paramètres!$A$1:$I$89,3,0)*0.475*44/12</f>
        <v>8.7742751004186628E-3</v>
      </c>
      <c r="BS55" s="22">
        <f t="shared" si="9"/>
        <v>10.109675841952416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211.09999999999997</v>
      </c>
      <c r="BZ55" s="13">
        <f>BY55*VLOOKUP('Données projet'!$B$12,Paramètres!$A$1:$I$89,3,0)*VLOOKUP('Données projet'!$B$12,Paramètres!$A$1:$I$89,5,0)</f>
        <v>98.794799999999981</v>
      </c>
      <c r="CA55" s="13">
        <f t="shared" si="39"/>
        <v>26.674672963454121</v>
      </c>
      <c r="CB55" s="20">
        <f t="shared" si="10"/>
        <v>218.52599874468254</v>
      </c>
      <c r="CC55" s="59">
        <f t="shared" si="11"/>
        <v>511.85933207801588</v>
      </c>
      <c r="CD55" s="59">
        <f ca="1">AVERAGE(OFFSET($CC$3,0,0,'Données projet'!$E$12+1,1))-AVERAGE(OFFSET($H$3,0,0,'Données projet'!$E$12+1,1))</f>
        <v>123.60520571614535</v>
      </c>
      <c r="CE55" s="59">
        <f t="shared" si="40"/>
        <v>119.00926870519527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0.56098566169454944</v>
      </c>
      <c r="CL55" s="21">
        <f>EXP(-LN(2)/25)*CL54+(1-EXP(-LN(2)/25))/(LN(2)/25)*Calculateur!CG55*Calculateur!CI55*VLOOKUP('Données projet'!$B$12,Paramètres!$A$1:$I$89,3,0)*0.475*44/12</f>
        <v>2.5955348346577485</v>
      </c>
      <c r="CM55" s="21">
        <f>EXP(-LN(2)/2)*CM54+(1-EXP(-LN(2)/2))/(LN(2)/2)*CG55*CJ55*VLOOKUP('Données projet'!$B$12,Paramètres!$A$1:$I$89,3,0)*0.475*44/12</f>
        <v>2.9852102007238992E-3</v>
      </c>
      <c r="CN55" s="22">
        <f t="shared" si="12"/>
        <v>3.1595057065530217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5.5</v>
      </c>
      <c r="CT55" s="12">
        <f>IF('Données projet'!$A$140&gt;35,CT54+CS55-DB54,IF(A55&lt;'Données projet'!$A$140,$CQ$205^A55,IF(A55='Données projet'!$A$140,'Données projet'!$B$140,CT54+CS55-DB54)))</f>
        <v>117.99999999999997</v>
      </c>
      <c r="CU55" s="17">
        <f>CT55*VLOOKUP('Données projet'!$B$13,Paramètres!$A$1:$I$89,3,0)*VLOOKUP('Données projet'!$B$13,Paramètres!$A$1:$I$89,5,0)</f>
        <v>123.33359999999999</v>
      </c>
      <c r="CV55" s="13">
        <f t="shared" si="41"/>
        <v>32.451262486913372</v>
      </c>
      <c r="CW55" s="20">
        <f t="shared" si="13"/>
        <v>271.32530216470741</v>
      </c>
      <c r="CX55" s="59">
        <f t="shared" si="14"/>
        <v>564.65863549804067</v>
      </c>
      <c r="CY55" s="59">
        <f ca="1">AVERAGE(OFFSET($CX$3,0,0,'Données projet'!$E$13+1,1))-AVERAGE(OFFSET($H$3,0,0,'Données projet'!$E$13+1,1))</f>
        <v>177.94336949486529</v>
      </c>
      <c r="CZ55" s="59">
        <f t="shared" si="42"/>
        <v>65.559373432574603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9.6</v>
      </c>
      <c r="DO55" s="12">
        <f>IF('Données projet'!$A$166&gt;35,DO54+DN55-DW54,IF(A55&lt;'Données projet'!$A$166,$DL$205^A55,IF(A55='Données projet'!$A$166,'Données projet'!$B$166,DO54+DN55-DW54)))</f>
        <v>247.1999999999999</v>
      </c>
      <c r="DP55" s="17">
        <f>DO55*VLOOKUP('Données projet'!$B$14,Paramètres!$A$1:$I$89,3,0)*VLOOKUP('Données projet'!$B$14,Paramètres!$A$1:$I$89,5,0)</f>
        <v>147.82559999999995</v>
      </c>
      <c r="DQ55" s="13">
        <f t="shared" si="43"/>
        <v>38.084026262138629</v>
      </c>
      <c r="DR55" s="20">
        <f t="shared" si="16"/>
        <v>323.79259907322466</v>
      </c>
      <c r="DS55" s="59">
        <f t="shared" si="17"/>
        <v>617.12593240655792</v>
      </c>
      <c r="DT55" s="59">
        <f ca="1">AVERAGE(OFFSET($DS$3,0,0,'Données projet'!$E$14+1,1))-AVERAGE(OFFSET($H$3,0,0,'Données projet'!$E$14+1,1))</f>
        <v>165.39579887388538</v>
      </c>
      <c r="DU55" s="59">
        <f t="shared" si="44"/>
        <v>155.89639262545802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3.9607384181071863</v>
      </c>
      <c r="EC55" s="21">
        <f>EXP(-LN(2)/2)*EC54+(1-EXP(-LN(2)/2))/(LN(2)/2)*DW55*DZ55*VLOOKUP('Données projet'!$B$14,Paramètres!$A$1:$I$89,3,0)*0.475*44/12</f>
        <v>6.7773611989145272E-3</v>
      </c>
      <c r="ED55" s="22">
        <f t="shared" si="18"/>
        <v>3.9675157793061007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17.3</v>
      </c>
      <c r="EJ55" s="12">
        <f>IF('Données projet'!$A$192&gt;35,EJ54+EI55-ER54,IF(A55&lt;'Données projet'!$A$192,$EG$205^A55,IF(A55='Données projet'!$A$192,'Données projet'!$B$192,EJ54+EI55-ER54)))</f>
        <v>426.5999999999998</v>
      </c>
      <c r="EK55" s="17">
        <f>EJ55*VLOOKUP('Données projet'!$B$15,Paramètres!$A$1:$I$89,3,0)*VLOOKUP('Données projet'!$B$15,Paramètres!$A$1:$I$89,5,0)</f>
        <v>205.19459999999992</v>
      </c>
      <c r="EL55" s="13">
        <f t="shared" si="45"/>
        <v>50.884074335339101</v>
      </c>
      <c r="EM55" s="20">
        <f t="shared" si="19"/>
        <v>446.00369113404878</v>
      </c>
      <c r="EN55" s="59">
        <f t="shared" si="20"/>
        <v>739.33702446738209</v>
      </c>
      <c r="EO55" s="59">
        <f ca="1">AVERAGE(OFFSET($EN$3,0,0,'Données projet'!$E$15+1,1))-AVERAGE(OFFSET($H$3,0,0,'Données projet'!$E$15+1,1))</f>
        <v>252.30925789500111</v>
      </c>
      <c r="EP55" s="59">
        <f t="shared" si="46"/>
        <v>213.96033794804805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2.9963407389721994</v>
      </c>
      <c r="EW55" s="21">
        <f>EXP(-LN(2)/25)*EW54+(1-EXP(-LN(2)/25))/(LN(2)/25)*Calculateur!ER55*Calculateur!ET55*VLOOKUP('Données projet'!$B$15,Paramètres!$A$1:$I$89,3,0)*0.475*44/12</f>
        <v>5.0144152415315313</v>
      </c>
      <c r="EX55" s="21">
        <f>EXP(-LN(2)/2)*EX54+(1-EXP(-LN(2)/2))/(LN(2)/2)*ER55*EU55*VLOOKUP('Données projet'!$B$15,Paramètres!$A$1:$I$89,3,0)*0.475*44/12</f>
        <v>7.0202825229053164E-3</v>
      </c>
      <c r="EY55" s="22">
        <f t="shared" si="21"/>
        <v>8.0177762630266365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17.3</v>
      </c>
      <c r="FE55" s="12">
        <f>IF('Données projet'!$A$218&gt;35,FE54+FD55-FM54,IF(A55&lt;'Données projet'!$A$218,$FB$205^A55,IF(A55='Données projet'!$A$218,'Données projet'!$B$218,FE54+FD55-FM54)))</f>
        <v>426.5999999999998</v>
      </c>
      <c r="FF55" s="17">
        <f>FE55*VLOOKUP('Données projet'!$B$16,Paramètres!$A$1:$I$89,3,0)*VLOOKUP('Données projet'!$B$16,Paramètres!$A$1:$I$89,5,0)</f>
        <v>205.19459999999992</v>
      </c>
      <c r="FG55" s="13">
        <f t="shared" si="47"/>
        <v>50.884074335339101</v>
      </c>
      <c r="FH55" s="20">
        <f t="shared" si="22"/>
        <v>446.00369113404878</v>
      </c>
      <c r="FI55" s="59">
        <f t="shared" si="23"/>
        <v>739.33702446738209</v>
      </c>
      <c r="FJ55" s="59">
        <f ca="1">AVERAGE(OFFSET($FI$3,0,0,'Données projet'!$E$16+1,1))-AVERAGE(OFFSET($H$3,0,0,'Données projet'!$E$16+1,1))</f>
        <v>252.30925789500111</v>
      </c>
      <c r="FK55" s="59">
        <f t="shared" si="48"/>
        <v>213.96033794804805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2.9963407389721994</v>
      </c>
      <c r="FR55" s="21">
        <f>EXP(-LN(2)/25)*FR54+(1-EXP(-LN(2)/25))/(LN(2)/25)*Calculateur!FM55*Calculateur!FO55*VLOOKUP('Données projet'!$B$16,Paramètres!$A$1:$I$89,3,0)*0.475*44/12</f>
        <v>5.0144152415315313</v>
      </c>
      <c r="FS55" s="21">
        <f>EXP(-LN(2)/2)*FS54+(1-EXP(-LN(2)/2))/(LN(2)/2)*FM55*FP55*VLOOKUP('Données projet'!$B$16,Paramètres!$A$1:$I$89,3,0)*0.475*44/12</f>
        <v>7.0202825229053164E-3</v>
      </c>
      <c r="FT55" s="22">
        <f t="shared" si="24"/>
        <v>8.0177762630266365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5.125</v>
      </c>
      <c r="FZ55" s="12">
        <f>IF('Données projet'!$A$244&gt;35,FZ54+FY55-GH54,IF(A55&lt;'Données projet'!$A$244,$FW$205^A55,IF(A55='Données projet'!$A$244,'Données projet'!$B$244,FZ54+FY55-GH54)))</f>
        <v>235.75</v>
      </c>
      <c r="GA55" s="17">
        <f>FZ55*VLOOKUP('Données projet'!$B$17,Paramètres!$A$1:$I$89,3,0)*VLOOKUP('Données projet'!$B$17,Paramètres!$A$1:$I$89,5,0)</f>
        <v>140.97850000000003</v>
      </c>
      <c r="GB55" s="13">
        <f t="shared" si="49"/>
        <v>36.521075157496767</v>
      </c>
      <c r="GC55" s="20">
        <f t="shared" si="25"/>
        <v>309.14509339930686</v>
      </c>
      <c r="GD55" s="59">
        <f t="shared" si="26"/>
        <v>602.47842673264017</v>
      </c>
      <c r="GE55" s="59">
        <f ca="1">AVERAGE(OFFSET($GD$3,0,0,'Données projet'!$E$17+1,1))-AVERAGE(OFFSET($H$3,0,0,'Données projet'!$E$17+1,1))</f>
        <v>117.54638373164624</v>
      </c>
      <c r="GF55" s="59">
        <f t="shared" si="50"/>
        <v>133.0740262536583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1.4309514742028129</v>
      </c>
      <c r="GM55" s="21">
        <f>EXP(-LN(2)/25)*GM54+(1-EXP(-LN(2)/25))/(LN(2)/25)*Calculateur!GH55*Calculateur!GJ55*VLOOKUP('Données projet'!$B$17,Paramètres!$A$1:$I$89,3,0)*0.475*44/12</f>
        <v>4.703165271239393</v>
      </c>
      <c r="GN55" s="21">
        <f>EXP(-LN(2)/2)*GN54+(1-EXP(-LN(2)/2))/(LN(2)/2)*GH55*GK55*VLOOKUP('Données projet'!$B$17,Paramètres!$A$1:$I$89,3,0)*0.475*44/12</f>
        <v>1.9753528372445997E-3</v>
      </c>
      <c r="GO55" s="21">
        <f t="shared" si="27"/>
        <v>6.1360920982794509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2.8421709430404007E-14</v>
      </c>
      <c r="GV55" s="17">
        <f>GU55*VLOOKUP('Données projet'!$B$18,Paramètres!$A$1:$I$89,3,0)*VLOOKUP('Données projet'!$B$18,Paramètres!$A$1:$I$89,5,0)</f>
        <v>1.3567387213697657E-14</v>
      </c>
      <c r="GW55" s="13">
        <f t="shared" si="51"/>
        <v>2.5717320947985821E-13</v>
      </c>
      <c r="GX55" s="20">
        <f t="shared" si="28"/>
        <v>4.7153987257460977E-13</v>
      </c>
      <c r="GY55" s="59">
        <f t="shared" si="29"/>
        <v>293.33333333333377</v>
      </c>
      <c r="GZ55" s="59">
        <f ca="1">AVERAGE(OFFSET($GY$3,0,0,'Données projet'!$E$18+1,1))-AVERAGE(OFFSET($H$3,0,0,'Données projet'!$E$18+1,1))</f>
        <v>43.147469606759159</v>
      </c>
      <c r="HA55" s="59">
        <f t="shared" si="52"/>
        <v>147.46995307968473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23.325532442825054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2.6913059435360813E-4</v>
      </c>
      <c r="HJ55" s="22">
        <f t="shared" si="30"/>
        <v>23.325801573419408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5.5</v>
      </c>
      <c r="N56" s="13">
        <f>IF('Données projet'!$A$36&gt;35,N55+M56-V55,IF(A56&lt;'Données projet'!$A$36,$K$205^A56,IF(A56='Données projet'!$A$36,'Données projet'!$B$36,N55+M56-V55)))</f>
        <v>123.49999999999997</v>
      </c>
      <c r="O56" s="13">
        <f>N56*VLOOKUP('Données projet'!$B$9,Paramètres!$A$1:$I$89,3,0)*VLOOKUP('Données projet'!$B$9,Paramètres!$A$1:$I$89,5,0)</f>
        <v>111.74279999999997</v>
      </c>
      <c r="P56" s="13">
        <f t="shared" si="33"/>
        <v>29.741225429709573</v>
      </c>
      <c r="Q56" s="20">
        <f t="shared" si="53"/>
        <v>246.4180109567441</v>
      </c>
      <c r="R56" s="59">
        <f t="shared" si="0"/>
        <v>539.75134429007744</v>
      </c>
      <c r="S56" s="59">
        <f ca="1">AVERAGE(OFFSET($R$3,0,0,'Données projet'!$E$9+1,1))-AVERAGE(OFFSET($H$3,0,0,'Données projet'!$E$9+1,1))</f>
        <v>138.8931001150624</v>
      </c>
      <c r="T56" s="59">
        <f t="shared" si="34"/>
        <v>48.964659354096625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180.79999999999973</v>
      </c>
      <c r="AJ56" s="13">
        <f>AI56*VLOOKUP('Données projet'!$B$10,Paramètres!$A$1:$I$89,3,0)*VLOOKUP('Données projet'!$B$10,Paramètres!$A$1:$I$89,5,0)</f>
        <v>157.94687999999979</v>
      </c>
      <c r="AK56" s="13">
        <f t="shared" si="35"/>
        <v>40.379080953267021</v>
      </c>
      <c r="AL56" s="20">
        <f t="shared" si="4"/>
        <v>345.41771532693969</v>
      </c>
      <c r="AM56" s="59">
        <f t="shared" si="5"/>
        <v>638.751048660273</v>
      </c>
      <c r="AN56" s="59">
        <f ca="1">AVERAGE(OFFSET($AM$3,0,0,'Données projet'!$E$10+1,1))-AVERAGE(OFFSET($H$3,0,0,'Données projet'!$E$10+1,1))</f>
        <v>191.94797389630673</v>
      </c>
      <c r="AO56" s="59">
        <f t="shared" si="36"/>
        <v>273.52540822767878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7.4245745473304927</v>
      </c>
      <c r="AW56" s="21">
        <f>EXP(-LN(2)/2)*AW55+(1-EXP(-LN(2)/2))/(LN(2)/2)*AQ56*AT56*VLOOKUP('Données projet'!$B$10,Paramètres!$A$1:$I$89,3,0)*0.475*44/12</f>
        <v>8.0112515306622785E-3</v>
      </c>
      <c r="AX56" s="21">
        <f t="shared" si="6"/>
        <v>9.0652624027465158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243.20000000000005</v>
      </c>
      <c r="BE56" s="13">
        <f>BD56*VLOOKUP('Données projet'!$B$11,Paramètres!$A$1:$I$89,3,0)*VLOOKUP('Données projet'!$B$11,Paramètres!$A$1:$I$89,5,0)</f>
        <v>151.75680000000003</v>
      </c>
      <c r="BF56" s="13">
        <f t="shared" si="37"/>
        <v>38.977553766978133</v>
      </c>
      <c r="BG56" s="20">
        <f t="shared" si="7"/>
        <v>332.19566614415362</v>
      </c>
      <c r="BH56" s="59">
        <f t="shared" si="8"/>
        <v>625.52899947748688</v>
      </c>
      <c r="BI56" s="59">
        <f ca="1">AVERAGE(OFFSET($BH$3,0,0,'Données projet'!$E$11+1,1))-AVERAGE(OFFSET($H$3,0,0,'Données projet'!$E$11+1,1))</f>
        <v>162.91481796710048</v>
      </c>
      <c r="BJ56" s="59">
        <f t="shared" si="38"/>
        <v>182.56192390367823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1.7637316651124659</v>
      </c>
      <c r="BQ56" s="21">
        <f>EXP(-LN(2)/25)*BQ55+(1-EXP(-LN(2)/25))/(LN(2)/25)*Calculateur!BL56*Calculateur!BN56*VLOOKUP('Données projet'!$B$11,Paramètres!$A$1:$I$89,3,0)*0.475*44/12</f>
        <v>8.0748767447783507</v>
      </c>
      <c r="BR56" s="21">
        <f>EXP(-LN(2)/2)*BR55+(1-EXP(-LN(2)/2))/(LN(2)/2)*BL56*BO56*VLOOKUP('Données projet'!$B$11,Paramètres!$A$1:$I$89,3,0)*0.475*44/12</f>
        <v>6.2043494235023118E-3</v>
      </c>
      <c r="BS56" s="22">
        <f t="shared" si="9"/>
        <v>9.8448127593143191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219.09999999999997</v>
      </c>
      <c r="BZ56" s="13">
        <f>BY56*VLOOKUP('Données projet'!$B$12,Paramètres!$A$1:$I$89,3,0)*VLOOKUP('Données projet'!$B$12,Paramètres!$A$1:$I$89,5,0)</f>
        <v>102.53879999999999</v>
      </c>
      <c r="CA56" s="13">
        <f t="shared" si="39"/>
        <v>27.565946279127903</v>
      </c>
      <c r="CB56" s="20">
        <f t="shared" si="10"/>
        <v>226.59909976948109</v>
      </c>
      <c r="CC56" s="59">
        <f t="shared" si="11"/>
        <v>519.93243310281446</v>
      </c>
      <c r="CD56" s="59">
        <f ca="1">AVERAGE(OFFSET($CC$3,0,0,'Données projet'!$E$12+1,1))-AVERAGE(OFFSET($H$3,0,0,'Données projet'!$E$12+1,1))</f>
        <v>123.60520571614535</v>
      </c>
      <c r="CE56" s="59">
        <f t="shared" si="40"/>
        <v>119.00926870519527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0.54998507503618677</v>
      </c>
      <c r="CL56" s="21">
        <f>EXP(-LN(2)/25)*CL55+(1-EXP(-LN(2)/25))/(LN(2)/25)*Calculateur!CG56*Calculateur!CI56*VLOOKUP('Données projet'!$B$12,Paramètres!$A$1:$I$89,3,0)*0.475*44/12</f>
        <v>2.5245597981107877</v>
      </c>
      <c r="CM56" s="21">
        <f>EXP(-LN(2)/2)*CM55+(1-EXP(-LN(2)/2))/(LN(2)/2)*CG56*CJ56*VLOOKUP('Données projet'!$B$12,Paramètres!$A$1:$I$89,3,0)*0.475*44/12</f>
        <v>2.1108623761991237E-3</v>
      </c>
      <c r="CN56" s="22">
        <f t="shared" si="12"/>
        <v>3.0766557355231736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5.5</v>
      </c>
      <c r="CT56" s="12">
        <f>IF('Données projet'!$A$140&gt;35,CT55+CS56-DB55,IF(A56&lt;'Données projet'!$A$140,$CQ$205^A56,IF(A56='Données projet'!$A$140,'Données projet'!$B$140,CT55+CS56-DB55)))</f>
        <v>123.49999999999997</v>
      </c>
      <c r="CU56" s="17">
        <f>CT56*VLOOKUP('Données projet'!$B$13,Paramètres!$A$1:$I$89,3,0)*VLOOKUP('Données projet'!$B$13,Paramètres!$A$1:$I$89,5,0)</f>
        <v>129.0822</v>
      </c>
      <c r="CV56" s="13">
        <f t="shared" si="41"/>
        <v>33.784195329229092</v>
      </c>
      <c r="CW56" s="20">
        <f t="shared" si="13"/>
        <v>283.65897186507397</v>
      </c>
      <c r="CX56" s="59">
        <f t="shared" si="14"/>
        <v>576.99230519840728</v>
      </c>
      <c r="CY56" s="59">
        <f ca="1">AVERAGE(OFFSET($CX$3,0,0,'Données projet'!$E$13+1,1))-AVERAGE(OFFSET($H$3,0,0,'Données projet'!$E$13+1,1))</f>
        <v>177.94336949486529</v>
      </c>
      <c r="CZ56" s="59">
        <f t="shared" si="42"/>
        <v>65.559373432574603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9.6</v>
      </c>
      <c r="DO56" s="12">
        <f>IF('Données projet'!$A$166&gt;35,DO55+DN56-DW55,IF(A56&lt;'Données projet'!$A$166,$DL$205^A56,IF(A56='Données projet'!$A$166,'Données projet'!$B$166,DO55+DN56-DW55)))</f>
        <v>256.7999999999999</v>
      </c>
      <c r="DP56" s="17">
        <f>DO56*VLOOKUP('Données projet'!$B$14,Paramètres!$A$1:$I$89,3,0)*VLOOKUP('Données projet'!$B$14,Paramètres!$A$1:$I$89,5,0)</f>
        <v>153.56639999999996</v>
      </c>
      <c r="DQ56" s="13">
        <f t="shared" si="43"/>
        <v>39.387951109795566</v>
      </c>
      <c r="DR56" s="20">
        <f t="shared" si="16"/>
        <v>336.06216151622726</v>
      </c>
      <c r="DS56" s="59">
        <f t="shared" si="17"/>
        <v>629.39549484956058</v>
      </c>
      <c r="DT56" s="59">
        <f ca="1">AVERAGE(OFFSET($DS$3,0,0,'Données projet'!$E$14+1,1))-AVERAGE(OFFSET($H$3,0,0,'Données projet'!$E$14+1,1))</f>
        <v>165.39579887388538</v>
      </c>
      <c r="DU56" s="59">
        <f t="shared" si="44"/>
        <v>155.89639262545802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3.8524318177778643</v>
      </c>
      <c r="EC56" s="21">
        <f>EXP(-LN(2)/2)*EC55+(1-EXP(-LN(2)/2))/(LN(2)/2)*DW56*DZ56*VLOOKUP('Données projet'!$B$14,Paramètres!$A$1:$I$89,3,0)*0.475*44/12</f>
        <v>4.7923180623030519E-3</v>
      </c>
      <c r="ED56" s="22">
        <f t="shared" si="18"/>
        <v>3.8572241358401671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17.3</v>
      </c>
      <c r="EJ56" s="12">
        <f>IF('Données projet'!$A$192&gt;35,EJ55+EI56-ER55,IF(A56&lt;'Données projet'!$A$192,$EG$205^A56,IF(A56='Données projet'!$A$192,'Données projet'!$B$192,EJ55+EI56-ER55)))</f>
        <v>443.89999999999981</v>
      </c>
      <c r="EK56" s="17">
        <f>EJ56*VLOOKUP('Données projet'!$B$15,Paramètres!$A$1:$I$89,3,0)*VLOOKUP('Données projet'!$B$15,Paramètres!$A$1:$I$89,5,0)</f>
        <v>213.51589999999993</v>
      </c>
      <c r="EL56" s="13">
        <f t="shared" si="45"/>
        <v>52.703154281688931</v>
      </c>
      <c r="EM56" s="20">
        <f t="shared" si="19"/>
        <v>463.66485287394136</v>
      </c>
      <c r="EN56" s="59">
        <f t="shared" si="20"/>
        <v>756.99818620727467</v>
      </c>
      <c r="EO56" s="59">
        <f ca="1">AVERAGE(OFFSET($EN$3,0,0,'Données projet'!$E$15+1,1))-AVERAGE(OFFSET($H$3,0,0,'Données projet'!$E$15+1,1))</f>
        <v>252.30925789500111</v>
      </c>
      <c r="EP56" s="59">
        <f t="shared" si="46"/>
        <v>213.96033794804805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2.9375843246683462</v>
      </c>
      <c r="EW56" s="21">
        <f>EXP(-LN(2)/25)*EW55+(1-EXP(-LN(2)/25))/(LN(2)/25)*Calculateur!ER56*Calculateur!ET56*VLOOKUP('Données projet'!$B$15,Paramètres!$A$1:$I$89,3,0)*0.475*44/12</f>
        <v>4.8772957930552145</v>
      </c>
      <c r="EX56" s="21">
        <f>EXP(-LN(2)/2)*EX55+(1-EXP(-LN(2)/2))/(LN(2)/2)*ER56*EU56*VLOOKUP('Données projet'!$B$15,Paramètres!$A$1:$I$89,3,0)*0.475*44/12</f>
        <v>4.9640893777917533E-3</v>
      </c>
      <c r="EY56" s="22">
        <f t="shared" si="21"/>
        <v>7.8198442071013528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17.3</v>
      </c>
      <c r="FE56" s="12">
        <f>IF('Données projet'!$A$218&gt;35,FE55+FD56-FM55,IF(A56&lt;'Données projet'!$A$218,$FB$205^A56,IF(A56='Données projet'!$A$218,'Données projet'!$B$218,FE55+FD56-FM55)))</f>
        <v>443.89999999999981</v>
      </c>
      <c r="FF56" s="17">
        <f>FE56*VLOOKUP('Données projet'!$B$16,Paramètres!$A$1:$I$89,3,0)*VLOOKUP('Données projet'!$B$16,Paramètres!$A$1:$I$89,5,0)</f>
        <v>213.51589999999993</v>
      </c>
      <c r="FG56" s="13">
        <f t="shared" si="47"/>
        <v>52.703154281688931</v>
      </c>
      <c r="FH56" s="20">
        <f t="shared" si="22"/>
        <v>463.66485287394136</v>
      </c>
      <c r="FI56" s="59">
        <f t="shared" si="23"/>
        <v>756.99818620727467</v>
      </c>
      <c r="FJ56" s="59">
        <f ca="1">AVERAGE(OFFSET($FI$3,0,0,'Données projet'!$E$16+1,1))-AVERAGE(OFFSET($H$3,0,0,'Données projet'!$E$16+1,1))</f>
        <v>252.30925789500111</v>
      </c>
      <c r="FK56" s="59">
        <f t="shared" si="48"/>
        <v>213.96033794804805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2.9375843246683462</v>
      </c>
      <c r="FR56" s="21">
        <f>EXP(-LN(2)/25)*FR55+(1-EXP(-LN(2)/25))/(LN(2)/25)*Calculateur!FM56*Calculateur!FO56*VLOOKUP('Données projet'!$B$16,Paramètres!$A$1:$I$89,3,0)*0.475*44/12</f>
        <v>4.8772957930552145</v>
      </c>
      <c r="FS56" s="21">
        <f>EXP(-LN(2)/2)*FS55+(1-EXP(-LN(2)/2))/(LN(2)/2)*FM56*FP56*VLOOKUP('Données projet'!$B$16,Paramètres!$A$1:$I$89,3,0)*0.475*44/12</f>
        <v>4.9640893777917533E-3</v>
      </c>
      <c r="FT56" s="22">
        <f t="shared" si="24"/>
        <v>7.8198442071013528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5.125</v>
      </c>
      <c r="FZ56" s="12">
        <f>IF('Données projet'!$A$244&gt;35,FZ55+FY56-GH55,IF(A56&lt;'Données projet'!$A$244,$FW$205^A56,IF(A56='Données projet'!$A$244,'Données projet'!$B$244,FZ55+FY56-GH55)))</f>
        <v>240.875</v>
      </c>
      <c r="GA56" s="17">
        <f>FZ56*VLOOKUP('Données projet'!$B$17,Paramètres!$A$1:$I$89,3,0)*VLOOKUP('Données projet'!$B$17,Paramètres!$A$1:$I$89,5,0)</f>
        <v>144.04325000000003</v>
      </c>
      <c r="GB56" s="13">
        <f t="shared" si="49"/>
        <v>37.221716895868184</v>
      </c>
      <c r="GC56" s="20">
        <f t="shared" si="25"/>
        <v>315.70315067697044</v>
      </c>
      <c r="GD56" s="59">
        <f t="shared" si="26"/>
        <v>609.03648401030375</v>
      </c>
      <c r="GE56" s="59">
        <f ca="1">AVERAGE(OFFSET($GD$3,0,0,'Données projet'!$E$17+1,1))-AVERAGE(OFFSET($H$3,0,0,'Données projet'!$E$17+1,1))</f>
        <v>117.54638373164624</v>
      </c>
      <c r="GF56" s="59">
        <f t="shared" si="50"/>
        <v>133.0740262536583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1.4028913885879137</v>
      </c>
      <c r="GM56" s="21">
        <f>EXP(-LN(2)/25)*GM55+(1-EXP(-LN(2)/25))/(LN(2)/25)*Calculateur!GH56*Calculateur!GJ56*VLOOKUP('Données projet'!$B$17,Paramètres!$A$1:$I$89,3,0)*0.475*44/12</f>
        <v>4.574556969568639</v>
      </c>
      <c r="GN56" s="21">
        <f>EXP(-LN(2)/2)*GN55+(1-EXP(-LN(2)/2))/(LN(2)/2)*GH56*GK56*VLOOKUP('Données projet'!$B$17,Paramètres!$A$1:$I$89,3,0)*0.475*44/12</f>
        <v>1.396785386451743E-3</v>
      </c>
      <c r="GO56" s="21">
        <f t="shared" si="27"/>
        <v>5.9788451435430039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2.8421709430404007E-14</v>
      </c>
      <c r="GV56" s="17">
        <f>GU56*VLOOKUP('Données projet'!$B$18,Paramètres!$A$1:$I$89,3,0)*VLOOKUP('Données projet'!$B$18,Paramètres!$A$1:$I$89,5,0)</f>
        <v>1.3567387213697657E-14</v>
      </c>
      <c r="GW56" s="13">
        <f t="shared" si="51"/>
        <v>2.5717320947985821E-13</v>
      </c>
      <c r="GX56" s="20">
        <f t="shared" si="28"/>
        <v>4.7153987257460977E-13</v>
      </c>
      <c r="GY56" s="59">
        <f t="shared" si="29"/>
        <v>293.33333333333377</v>
      </c>
      <c r="GZ56" s="59">
        <f ca="1">AVERAGE(OFFSET($GY$3,0,0,'Données projet'!$E$18+1,1))-AVERAGE(OFFSET($H$3,0,0,'Données projet'!$E$18+1,1))</f>
        <v>43.147469606759159</v>
      </c>
      <c r="HA56" s="59">
        <f t="shared" si="52"/>
        <v>147.46995307968473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22.868132978791227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1.9030406829220227E-4</v>
      </c>
      <c r="HJ56" s="22">
        <f t="shared" si="30"/>
        <v>22.868323282859517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5.5</v>
      </c>
      <c r="N57" s="13">
        <f>IF('Données projet'!$A$36&gt;35,N56+M57-V56,IF(A57&lt;'Données projet'!$A$36,$K$205^A57,IF(A57='Données projet'!$A$36,'Données projet'!$B$36,N56+M57-V56)))</f>
        <v>128.99999999999997</v>
      </c>
      <c r="O57" s="13">
        <f>N57*VLOOKUP('Données projet'!$B$9,Paramètres!$A$1:$I$89,3,0)*VLOOKUP('Données projet'!$B$9,Paramètres!$A$1:$I$89,5,0)</f>
        <v>116.71919999999997</v>
      </c>
      <c r="P57" s="13">
        <f t="shared" si="33"/>
        <v>30.908576435525887</v>
      </c>
      <c r="Q57" s="20">
        <f t="shared" si="53"/>
        <v>257.11837729187414</v>
      </c>
      <c r="R57" s="59">
        <f t="shared" si="0"/>
        <v>550.4517106252074</v>
      </c>
      <c r="S57" s="59">
        <f ca="1">AVERAGE(OFFSET($R$3,0,0,'Données projet'!$E$9+1,1))-AVERAGE(OFFSET($H$3,0,0,'Données projet'!$E$9+1,1))</f>
        <v>138.8931001150624</v>
      </c>
      <c r="T57" s="59">
        <f t="shared" si="34"/>
        <v>48.964659354096625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186.39999999999972</v>
      </c>
      <c r="AJ57" s="13">
        <f>AI57*VLOOKUP('Données projet'!$B$10,Paramètres!$A$1:$I$89,3,0)*VLOOKUP('Données projet'!$B$10,Paramètres!$A$1:$I$89,5,0)</f>
        <v>162.83903999999978</v>
      </c>
      <c r="AK57" s="13">
        <f t="shared" si="35"/>
        <v>41.482211836000076</v>
      </c>
      <c r="AL57" s="20">
        <f t="shared" si="4"/>
        <v>355.85951361436645</v>
      </c>
      <c r="AM57" s="59">
        <f t="shared" si="5"/>
        <v>649.19284694769976</v>
      </c>
      <c r="AN57" s="59">
        <f ca="1">AVERAGE(OFFSET($AM$3,0,0,'Données projet'!$E$10+1,1))-AVERAGE(OFFSET($H$3,0,0,'Données projet'!$E$10+1,1))</f>
        <v>191.94797389630673</v>
      </c>
      <c r="AO57" s="59">
        <f t="shared" si="36"/>
        <v>273.52540822767878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7.2215491658923341</v>
      </c>
      <c r="AW57" s="21">
        <f>EXP(-LN(2)/2)*AW56+(1-EXP(-LN(2)/2))/(LN(2)/2)*AQ57*AT57*VLOOKUP('Données projet'!$B$10,Paramètres!$A$1:$I$89,3,0)*0.475*44/12</f>
        <v>5.6648102831224059E-3</v>
      </c>
      <c r="AX57" s="21">
        <f t="shared" si="6"/>
        <v>8.8278747876930215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250.60000000000005</v>
      </c>
      <c r="BE57" s="13">
        <f>BD57*VLOOKUP('Données projet'!$B$11,Paramètres!$A$1:$I$89,3,0)*VLOOKUP('Données projet'!$B$11,Paramètres!$A$1:$I$89,5,0)</f>
        <v>156.37440000000004</v>
      </c>
      <c r="BF57" s="13">
        <f t="shared" si="37"/>
        <v>40.023663524293205</v>
      </c>
      <c r="BG57" s="20">
        <f t="shared" si="7"/>
        <v>342.05996063814405</v>
      </c>
      <c r="BH57" s="59">
        <f t="shared" si="8"/>
        <v>635.39329397147731</v>
      </c>
      <c r="BI57" s="59">
        <f ca="1">AVERAGE(OFFSET($BH$3,0,0,'Données projet'!$E$11+1,1))-AVERAGE(OFFSET($H$3,0,0,'Données projet'!$E$11+1,1))</f>
        <v>162.91481796710048</v>
      </c>
      <c r="BJ57" s="59">
        <f t="shared" si="38"/>
        <v>182.56192390367823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1.7291459629297028</v>
      </c>
      <c r="BQ57" s="21">
        <f>EXP(-LN(2)/25)*BQ56+(1-EXP(-LN(2)/25))/(LN(2)/25)*Calculateur!BL57*Calculateur!BN57*VLOOKUP('Données projet'!$B$11,Paramètres!$A$1:$I$89,3,0)*0.475*44/12</f>
        <v>7.8540688155530738</v>
      </c>
      <c r="BR57" s="21">
        <f>EXP(-LN(2)/2)*BR56+(1-EXP(-LN(2)/2))/(LN(2)/2)*BL57*BO57*VLOOKUP('Données projet'!$B$11,Paramètres!$A$1:$I$89,3,0)*0.475*44/12</f>
        <v>4.3871375502093314E-3</v>
      </c>
      <c r="BS57" s="22">
        <f t="shared" si="9"/>
        <v>9.5876019160329857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227.09999999999997</v>
      </c>
      <c r="BZ57" s="13">
        <f>BY57*VLOOKUP('Données projet'!$B$12,Paramètres!$A$1:$I$89,3,0)*VLOOKUP('Données projet'!$B$12,Paramètres!$A$1:$I$89,5,0)</f>
        <v>106.28279999999998</v>
      </c>
      <c r="CA57" s="13">
        <f t="shared" si="39"/>
        <v>28.453438732464605</v>
      </c>
      <c r="CB57" s="20">
        <f t="shared" si="10"/>
        <v>234.6656157923758</v>
      </c>
      <c r="CC57" s="59">
        <f t="shared" si="11"/>
        <v>527.99894912570915</v>
      </c>
      <c r="CD57" s="59">
        <f ca="1">AVERAGE(OFFSET($CC$3,0,0,'Données projet'!$E$12+1,1))-AVERAGE(OFFSET($H$3,0,0,'Données projet'!$E$12+1,1))</f>
        <v>123.60520571614535</v>
      </c>
      <c r="CE57" s="59">
        <f t="shared" si="40"/>
        <v>119.00926870519527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0.53920020317249917</v>
      </c>
      <c r="CL57" s="21">
        <f>EXP(-LN(2)/25)*CL56+(1-EXP(-LN(2)/25))/(LN(2)/25)*Calculateur!CG57*Calculateur!CI57*VLOOKUP('Données projet'!$B$12,Paramètres!$A$1:$I$89,3,0)*0.475*44/12</f>
        <v>2.4555255776706182</v>
      </c>
      <c r="CM57" s="21">
        <f>EXP(-LN(2)/2)*CM56+(1-EXP(-LN(2)/2))/(LN(2)/2)*CG57*CJ57*VLOOKUP('Données projet'!$B$12,Paramètres!$A$1:$I$89,3,0)*0.475*44/12</f>
        <v>1.4926051003619496E-3</v>
      </c>
      <c r="CN57" s="22">
        <f t="shared" si="12"/>
        <v>2.9962183859434792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5.5</v>
      </c>
      <c r="CT57" s="12">
        <f>IF('Données projet'!$A$140&gt;35,CT56+CS57-DB56,IF(A57&lt;'Données projet'!$A$140,$CQ$205^A57,IF(A57='Données projet'!$A$140,'Données projet'!$B$140,CT56+CS57-DB56)))</f>
        <v>128.99999999999997</v>
      </c>
      <c r="CU57" s="17">
        <f>CT57*VLOOKUP('Données projet'!$B$13,Paramètres!$A$1:$I$89,3,0)*VLOOKUP('Données projet'!$B$13,Paramètres!$A$1:$I$89,5,0)</f>
        <v>134.83079999999998</v>
      </c>
      <c r="CV57" s="13">
        <f t="shared" si="41"/>
        <v>35.11023397856038</v>
      </c>
      <c r="CW57" s="20">
        <f t="shared" si="13"/>
        <v>295.98063417932593</v>
      </c>
      <c r="CX57" s="59">
        <f t="shared" si="14"/>
        <v>589.31396751265925</v>
      </c>
      <c r="CY57" s="59">
        <f ca="1">AVERAGE(OFFSET($CX$3,0,0,'Données projet'!$E$13+1,1))-AVERAGE(OFFSET($H$3,0,0,'Données projet'!$E$13+1,1))</f>
        <v>177.94336949486529</v>
      </c>
      <c r="CZ57" s="59">
        <f t="shared" si="42"/>
        <v>65.559373432574603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9.6</v>
      </c>
      <c r="DO57" s="12">
        <f>IF('Données projet'!$A$166&gt;35,DO56+DN57-DW56,IF(A57&lt;'Données projet'!$A$166,$DL$205^A57,IF(A57='Données projet'!$A$166,'Données projet'!$B$166,DO56+DN57-DW56)))</f>
        <v>266.39999999999992</v>
      </c>
      <c r="DP57" s="17">
        <f>DO57*VLOOKUP('Données projet'!$B$14,Paramètres!$A$1:$I$89,3,0)*VLOOKUP('Données projet'!$B$14,Paramètres!$A$1:$I$89,5,0)</f>
        <v>159.30719999999997</v>
      </c>
      <c r="DQ57" s="13">
        <f t="shared" si="43"/>
        <v>40.686212990054052</v>
      </c>
      <c r="DR57" s="20">
        <f t="shared" si="16"/>
        <v>348.32186095767742</v>
      </c>
      <c r="DS57" s="59">
        <f t="shared" si="17"/>
        <v>641.65519429101073</v>
      </c>
      <c r="DT57" s="59">
        <f ca="1">AVERAGE(OFFSET($DS$3,0,0,'Données projet'!$E$14+1,1))-AVERAGE(OFFSET($H$3,0,0,'Données projet'!$E$14+1,1))</f>
        <v>165.39579887388538</v>
      </c>
      <c r="DU57" s="59">
        <f t="shared" si="44"/>
        <v>155.89639262545802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3.7470868671301441</v>
      </c>
      <c r="EC57" s="21">
        <f>EXP(-LN(2)/2)*EC56+(1-EXP(-LN(2)/2))/(LN(2)/2)*DW57*DZ57*VLOOKUP('Données projet'!$B$14,Paramètres!$A$1:$I$89,3,0)*0.475*44/12</f>
        <v>3.3886805994572636E-3</v>
      </c>
      <c r="ED57" s="22">
        <f t="shared" si="18"/>
        <v>3.7504755477296015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17.3</v>
      </c>
      <c r="EJ57" s="12">
        <f>IF('Données projet'!$A$192&gt;35,EJ56+EI57-ER56,IF(A57&lt;'Données projet'!$A$192,$EG$205^A57,IF(A57='Données projet'!$A$192,'Données projet'!$B$192,EJ56+EI57-ER56)))</f>
        <v>461.19999999999982</v>
      </c>
      <c r="EK57" s="17">
        <f>EJ57*VLOOKUP('Données projet'!$B$15,Paramètres!$A$1:$I$89,3,0)*VLOOKUP('Données projet'!$B$15,Paramètres!$A$1:$I$89,5,0)</f>
        <v>221.83719999999991</v>
      </c>
      <c r="EL57" s="13">
        <f t="shared" si="45"/>
        <v>54.513998591774438</v>
      </c>
      <c r="EM57" s="20">
        <f t="shared" si="19"/>
        <v>481.31167088067355</v>
      </c>
      <c r="EN57" s="59">
        <f t="shared" si="20"/>
        <v>774.6450042140068</v>
      </c>
      <c r="EO57" s="59">
        <f ca="1">AVERAGE(OFFSET($EN$3,0,0,'Données projet'!$E$15+1,1))-AVERAGE(OFFSET($H$3,0,0,'Données projet'!$E$15+1,1))</f>
        <v>252.30925789500111</v>
      </c>
      <c r="EP57" s="59">
        <f t="shared" si="46"/>
        <v>213.96033794804805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2.8799800878111173</v>
      </c>
      <c r="EW57" s="21">
        <f>EXP(-LN(2)/25)*EW56+(1-EXP(-LN(2)/25))/(LN(2)/25)*Calculateur!ER57*Calculateur!ET57*VLOOKUP('Données projet'!$B$15,Paramètres!$A$1:$I$89,3,0)*0.475*44/12</f>
        <v>4.7439258831082816</v>
      </c>
      <c r="EX57" s="21">
        <f>EXP(-LN(2)/2)*EX56+(1-EXP(-LN(2)/2))/(LN(2)/2)*ER57*EU57*VLOOKUP('Données projet'!$B$15,Paramètres!$A$1:$I$89,3,0)*0.475*44/12</f>
        <v>3.5101412614526582E-3</v>
      </c>
      <c r="EY57" s="22">
        <f t="shared" si="21"/>
        <v>7.6274161121808515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17.3</v>
      </c>
      <c r="FE57" s="12">
        <f>IF('Données projet'!$A$218&gt;35,FE56+FD57-FM56,IF(A57&lt;'Données projet'!$A$218,$FB$205^A57,IF(A57='Données projet'!$A$218,'Données projet'!$B$218,FE56+FD57-FM56)))</f>
        <v>461.19999999999982</v>
      </c>
      <c r="FF57" s="17">
        <f>FE57*VLOOKUP('Données projet'!$B$16,Paramètres!$A$1:$I$89,3,0)*VLOOKUP('Données projet'!$B$16,Paramètres!$A$1:$I$89,5,0)</f>
        <v>221.83719999999991</v>
      </c>
      <c r="FG57" s="13">
        <f t="shared" si="47"/>
        <v>54.513998591774438</v>
      </c>
      <c r="FH57" s="20">
        <f t="shared" si="22"/>
        <v>481.31167088067355</v>
      </c>
      <c r="FI57" s="59">
        <f t="shared" si="23"/>
        <v>774.6450042140068</v>
      </c>
      <c r="FJ57" s="59">
        <f ca="1">AVERAGE(OFFSET($FI$3,0,0,'Données projet'!$E$16+1,1))-AVERAGE(OFFSET($H$3,0,0,'Données projet'!$E$16+1,1))</f>
        <v>252.30925789500111</v>
      </c>
      <c r="FK57" s="59">
        <f t="shared" si="48"/>
        <v>213.96033794804805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2.8799800878111173</v>
      </c>
      <c r="FR57" s="21">
        <f>EXP(-LN(2)/25)*FR56+(1-EXP(-LN(2)/25))/(LN(2)/25)*Calculateur!FM57*Calculateur!FO57*VLOOKUP('Données projet'!$B$16,Paramètres!$A$1:$I$89,3,0)*0.475*44/12</f>
        <v>4.7439258831082816</v>
      </c>
      <c r="FS57" s="21">
        <f>EXP(-LN(2)/2)*FS56+(1-EXP(-LN(2)/2))/(LN(2)/2)*FM57*FP57*VLOOKUP('Données projet'!$B$16,Paramètres!$A$1:$I$89,3,0)*0.475*44/12</f>
        <v>3.5101412614526582E-3</v>
      </c>
      <c r="FT57" s="22">
        <f t="shared" si="24"/>
        <v>7.6274161121808515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>
        <f>VLOOKUP(A57,'Données projet'!$A$243:$I$263,2,0)</f>
        <v>246</v>
      </c>
      <c r="FX57" s="12">
        <f>VLOOKUP(A57,'Données projet'!$A$243:$I$263,9,0)</f>
        <v>5.125</v>
      </c>
      <c r="FY57" s="12">
        <f t="array" ref="FY57">INDEX(FX:FX,MIN(IF(ISNUMBER(FX57:FX253),ROW(FX57:FX253),"")))</f>
        <v>5.125</v>
      </c>
      <c r="FZ57" s="12">
        <f>IF('Données projet'!$A$244&gt;35,FZ56+FY57-GH56,IF(A57&lt;'Données projet'!$A$244,$FW$205^A57,IF(A57='Données projet'!$A$244,'Données projet'!$B$244,FZ56+FY57-GH56)))</f>
        <v>246</v>
      </c>
      <c r="GA57" s="17">
        <f>FZ57*VLOOKUP('Données projet'!$B$17,Paramètres!$A$1:$I$89,3,0)*VLOOKUP('Données projet'!$B$17,Paramètres!$A$1:$I$89,5,0)</f>
        <v>147.10800000000003</v>
      </c>
      <c r="GB57" s="13">
        <f t="shared" si="49"/>
        <v>37.920625436598897</v>
      </c>
      <c r="GC57" s="20">
        <f t="shared" si="25"/>
        <v>322.25818930207646</v>
      </c>
      <c r="GD57" s="59">
        <f t="shared" si="26"/>
        <v>615.59152263540977</v>
      </c>
      <c r="GE57" s="59">
        <f ca="1">AVERAGE(OFFSET($GD$3,0,0,'Données projet'!$E$17+1,1))-AVERAGE(OFFSET($H$3,0,0,'Données projet'!$E$17+1,1))</f>
        <v>117.54638373164624</v>
      </c>
      <c r="GF57" s="59">
        <f t="shared" si="50"/>
        <v>133.0740262536583</v>
      </c>
      <c r="GG57" s="15">
        <f>IF(ISNA(VLOOKUP(A57,'Données projet'!$A$243:$I$263,3,0)),0,VLOOKUP(A57,'Données projet'!$A$243:$I$263,3,0))</f>
        <v>8</v>
      </c>
      <c r="GH57" s="15">
        <f>IF(ISNA(VLOOKUP(A57,'Données projet'!$A$243:$I$263,4,0)),0,VLOOKUP(A57,'Données projet'!$A$243:$I$263,4,0))</f>
        <v>22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1.3753815441369606</v>
      </c>
      <c r="GM57" s="21">
        <f>EXP(-LN(2)/25)*GM56+(1-EXP(-LN(2)/25))/(LN(2)/25)*Calculateur!GH57*Calculateur!GJ57*VLOOKUP('Données projet'!$B$17,Paramètres!$A$1:$I$89,3,0)*0.475*44/12</f>
        <v>4.4494654686702892</v>
      </c>
      <c r="GN57" s="21">
        <f>EXP(-LN(2)/2)*GN56+(1-EXP(-LN(2)/2))/(LN(2)/2)*GH57*GK57*VLOOKUP('Données projet'!$B$17,Paramètres!$A$1:$I$89,3,0)*0.475*44/12</f>
        <v>9.8767641862229985E-4</v>
      </c>
      <c r="GO57" s="21">
        <f t="shared" si="27"/>
        <v>5.8258346892258723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2.8421709430404007E-14</v>
      </c>
      <c r="GV57" s="17">
        <f>GU57*VLOOKUP('Données projet'!$B$18,Paramètres!$A$1:$I$89,3,0)*VLOOKUP('Données projet'!$B$18,Paramètres!$A$1:$I$89,5,0)</f>
        <v>1.3567387213697657E-14</v>
      </c>
      <c r="GW57" s="13">
        <f t="shared" si="51"/>
        <v>2.5717320947985821E-13</v>
      </c>
      <c r="GX57" s="20">
        <f t="shared" si="28"/>
        <v>4.7153987257460977E-13</v>
      </c>
      <c r="GY57" s="59">
        <f t="shared" si="29"/>
        <v>293.33333333333377</v>
      </c>
      <c r="GZ57" s="59">
        <f ca="1">AVERAGE(OFFSET($GY$3,0,0,'Données projet'!$E$18+1,1))-AVERAGE(OFFSET($H$3,0,0,'Données projet'!$E$18+1,1))</f>
        <v>43.147469606759159</v>
      </c>
      <c r="HA57" s="59">
        <f t="shared" si="52"/>
        <v>147.46995307968473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22.419702839260978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1.3456529717680406E-4</v>
      </c>
      <c r="HJ57" s="22">
        <f t="shared" si="30"/>
        <v>22.419837404558155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5.5</v>
      </c>
      <c r="N58" s="13">
        <f>IF('Données projet'!$A$36&gt;35,N57+M58-V57,IF(A58&lt;'Données projet'!$A$36,$K$205^A58,IF(A58='Données projet'!$A$36,'Données projet'!$B$36,N57+M58-V57)))</f>
        <v>134.49999999999997</v>
      </c>
      <c r="O58" s="13">
        <f>N58*VLOOKUP('Données projet'!$B$9,Paramètres!$A$1:$I$89,3,0)*VLOOKUP('Données projet'!$B$9,Paramètres!$A$1:$I$89,5,0)</f>
        <v>121.69559999999997</v>
      </c>
      <c r="P58" s="13">
        <f t="shared" si="33"/>
        <v>32.070146624846785</v>
      </c>
      <c r="Q58" s="20">
        <f t="shared" si="53"/>
        <v>267.8086753716081</v>
      </c>
      <c r="R58" s="59">
        <f t="shared" si="0"/>
        <v>561.14200870494142</v>
      </c>
      <c r="S58" s="59">
        <f ca="1">AVERAGE(OFFSET($R$3,0,0,'Données projet'!$E$9+1,1))-AVERAGE(OFFSET($H$3,0,0,'Données projet'!$E$9+1,1))</f>
        <v>138.8931001150624</v>
      </c>
      <c r="T58" s="59">
        <f t="shared" si="34"/>
        <v>48.964659354096625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191.99999999999972</v>
      </c>
      <c r="AJ58" s="13">
        <f>AI58*VLOOKUP('Données projet'!$B$10,Paramètres!$A$1:$I$89,3,0)*VLOOKUP('Données projet'!$B$10,Paramètres!$A$1:$I$89,5,0)</f>
        <v>167.73119999999977</v>
      </c>
      <c r="AK58" s="13">
        <f t="shared" si="35"/>
        <v>42.581491199832612</v>
      </c>
      <c r="AL58" s="20">
        <f t="shared" si="4"/>
        <v>366.29460383970803</v>
      </c>
      <c r="AM58" s="59">
        <f t="shared" si="5"/>
        <v>659.62793717304135</v>
      </c>
      <c r="AN58" s="59">
        <f ca="1">AVERAGE(OFFSET($AM$3,0,0,'Données projet'!$E$10+1,1))-AVERAGE(OFFSET($H$3,0,0,'Données projet'!$E$10+1,1))</f>
        <v>191.94797389630673</v>
      </c>
      <c r="AO58" s="59">
        <f t="shared" si="36"/>
        <v>273.52540822767878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7.0240755241862427</v>
      </c>
      <c r="AW58" s="21">
        <f>EXP(-LN(2)/2)*AW57+(1-EXP(-LN(2)/2))/(LN(2)/2)*AQ58*AT58*VLOOKUP('Données projet'!$B$10,Paramètres!$A$1:$I$89,3,0)*0.475*44/12</f>
        <v>4.0056257653311392E-3</v>
      </c>
      <c r="AX58" s="21">
        <f t="shared" si="6"/>
        <v>8.5973539792619729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258.00000000000006</v>
      </c>
      <c r="BE58" s="13">
        <f>BD58*VLOOKUP('Données projet'!$B$11,Paramètres!$A$1:$I$89,3,0)*VLOOKUP('Données projet'!$B$11,Paramètres!$A$1:$I$89,5,0)</f>
        <v>160.99200000000002</v>
      </c>
      <c r="BF58" s="13">
        <f t="shared" si="37"/>
        <v>41.066183224007858</v>
      </c>
      <c r="BG58" s="20">
        <f t="shared" si="7"/>
        <v>351.91800244848037</v>
      </c>
      <c r="BH58" s="59">
        <f t="shared" si="8"/>
        <v>645.25133578181362</v>
      </c>
      <c r="BI58" s="59">
        <f ca="1">AVERAGE(OFFSET($BH$3,0,0,'Données projet'!$E$11+1,1))-AVERAGE(OFFSET($H$3,0,0,'Données projet'!$E$11+1,1))</f>
        <v>162.91481796710048</v>
      </c>
      <c r="BJ58" s="59">
        <f t="shared" si="38"/>
        <v>182.56192390367823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1.6952384652715482</v>
      </c>
      <c r="BQ58" s="21">
        <f>EXP(-LN(2)/25)*BQ57+(1-EXP(-LN(2)/25))/(LN(2)/25)*Calculateur!BL58*Calculateur!BN58*VLOOKUP('Données projet'!$B$11,Paramètres!$A$1:$I$89,3,0)*0.475*44/12</f>
        <v>7.6392988907642465</v>
      </c>
      <c r="BR58" s="21">
        <f>EXP(-LN(2)/2)*BR57+(1-EXP(-LN(2)/2))/(LN(2)/2)*BL58*BO58*VLOOKUP('Données projet'!$B$11,Paramètres!$A$1:$I$89,3,0)*0.475*44/12</f>
        <v>3.1021747117511559E-3</v>
      </c>
      <c r="BS58" s="22">
        <f t="shared" si="9"/>
        <v>9.3376395307475466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235.09999999999997</v>
      </c>
      <c r="BZ58" s="13">
        <f>BY58*VLOOKUP('Données projet'!$B$12,Paramètres!$A$1:$I$89,3,0)*VLOOKUP('Données projet'!$B$12,Paramètres!$A$1:$I$89,5,0)</f>
        <v>110.02679999999998</v>
      </c>
      <c r="CA58" s="13">
        <f t="shared" si="39"/>
        <v>29.337298772065111</v>
      </c>
      <c r="CB58" s="20">
        <f t="shared" si="10"/>
        <v>242.72580536134669</v>
      </c>
      <c r="CC58" s="59">
        <f t="shared" si="11"/>
        <v>536.05913869467997</v>
      </c>
      <c r="CD58" s="59">
        <f ca="1">AVERAGE(OFFSET($CC$3,0,0,'Données projet'!$E$12+1,1))-AVERAGE(OFFSET($H$3,0,0,'Données projet'!$E$12+1,1))</f>
        <v>123.60520571614535</v>
      </c>
      <c r="CE58" s="59">
        <f t="shared" si="40"/>
        <v>119.00926870519527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0.52862681606793627</v>
      </c>
      <c r="CL58" s="21">
        <f>EXP(-LN(2)/25)*CL57+(1-EXP(-LN(2)/25))/(LN(2)/25)*Calculateur!CG58*Calculateur!CI58*VLOOKUP('Données projet'!$B$12,Paramètres!$A$1:$I$89,3,0)*0.475*44/12</f>
        <v>2.388379101618737</v>
      </c>
      <c r="CM58" s="21">
        <f>EXP(-LN(2)/2)*CM57+(1-EXP(-LN(2)/2))/(LN(2)/2)*CG58*CJ58*VLOOKUP('Données projet'!$B$12,Paramètres!$A$1:$I$89,3,0)*0.475*44/12</f>
        <v>1.0554311880995619E-3</v>
      </c>
      <c r="CN58" s="22">
        <f t="shared" si="12"/>
        <v>2.9180613488747729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5.5</v>
      </c>
      <c r="CT58" s="12">
        <f>IF('Données projet'!$A$140&gt;35,CT57+CS58-DB57,IF(A58&lt;'Données projet'!$A$140,$CQ$205^A58,IF(A58='Données projet'!$A$140,'Données projet'!$B$140,CT57+CS58-DB57)))</f>
        <v>134.49999999999997</v>
      </c>
      <c r="CU58" s="17">
        <f>CT58*VLOOKUP('Données projet'!$B$13,Paramètres!$A$1:$I$89,3,0)*VLOOKUP('Données projet'!$B$13,Paramètres!$A$1:$I$89,5,0)</f>
        <v>140.57939999999996</v>
      </c>
      <c r="CV58" s="13">
        <f t="shared" si="41"/>
        <v>36.429705977364662</v>
      </c>
      <c r="CW58" s="20">
        <f t="shared" si="13"/>
        <v>308.2908595772434</v>
      </c>
      <c r="CX58" s="59">
        <f t="shared" si="14"/>
        <v>601.62419291057677</v>
      </c>
      <c r="CY58" s="59">
        <f ca="1">AVERAGE(OFFSET($CX$3,0,0,'Données projet'!$E$13+1,1))-AVERAGE(OFFSET($H$3,0,0,'Données projet'!$E$13+1,1))</f>
        <v>177.94336949486529</v>
      </c>
      <c r="CZ58" s="59">
        <f t="shared" si="42"/>
        <v>65.559373432574603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9.6</v>
      </c>
      <c r="DO58" s="12">
        <f>IF('Données projet'!$A$166&gt;35,DO57+DN58-DW57,IF(A58&lt;'Données projet'!$A$166,$DL$205^A58,IF(A58='Données projet'!$A$166,'Données projet'!$B$166,DO57+DN58-DW57)))</f>
        <v>275.99999999999994</v>
      </c>
      <c r="DP58" s="17">
        <f>DO58*VLOOKUP('Données projet'!$B$14,Paramètres!$A$1:$I$89,3,0)*VLOOKUP('Données projet'!$B$14,Paramètres!$A$1:$I$89,5,0)</f>
        <v>165.04799999999997</v>
      </c>
      <c r="DQ58" s="13">
        <f t="shared" si="43"/>
        <v>41.979039350635581</v>
      </c>
      <c r="DR58" s="20">
        <f t="shared" si="16"/>
        <v>360.57209353569027</v>
      </c>
      <c r="DS58" s="59">
        <f t="shared" si="17"/>
        <v>653.90542686902359</v>
      </c>
      <c r="DT58" s="59">
        <f ca="1">AVERAGE(OFFSET($DS$3,0,0,'Données projet'!$E$14+1,1))-AVERAGE(OFFSET($H$3,0,0,'Données projet'!$E$14+1,1))</f>
        <v>165.39579887388538</v>
      </c>
      <c r="DU58" s="59">
        <f t="shared" si="44"/>
        <v>155.89639262545802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3.6446225796977361</v>
      </c>
      <c r="EC58" s="21">
        <f>EXP(-LN(2)/2)*EC57+(1-EXP(-LN(2)/2))/(LN(2)/2)*DW58*DZ58*VLOOKUP('Données projet'!$B$14,Paramètres!$A$1:$I$89,3,0)*0.475*44/12</f>
        <v>2.3961590311515259E-3</v>
      </c>
      <c r="ED58" s="22">
        <f t="shared" si="18"/>
        <v>3.6470187387288875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17.3</v>
      </c>
      <c r="EJ58" s="12">
        <f>IF('Données projet'!$A$192&gt;35,EJ57+EI58-ER57,IF(A58&lt;'Données projet'!$A$192,$EG$205^A58,IF(A58='Données projet'!$A$192,'Données projet'!$B$192,EJ57+EI58-ER57)))</f>
        <v>478.49999999999983</v>
      </c>
      <c r="EK58" s="17">
        <f>EJ58*VLOOKUP('Données projet'!$B$15,Paramètres!$A$1:$I$89,3,0)*VLOOKUP('Données projet'!$B$15,Paramètres!$A$1:$I$89,5,0)</f>
        <v>230.15849999999992</v>
      </c>
      <c r="EL58" s="13">
        <f t="shared" si="45"/>
        <v>56.316951562687294</v>
      </c>
      <c r="EM58" s="20">
        <f t="shared" si="19"/>
        <v>498.94474480501361</v>
      </c>
      <c r="EN58" s="59">
        <f t="shared" si="20"/>
        <v>792.27807813834693</v>
      </c>
      <c r="EO58" s="59">
        <f ca="1">AVERAGE(OFFSET($EN$3,0,0,'Données projet'!$E$15+1,1))-AVERAGE(OFFSET($H$3,0,0,'Données projet'!$E$15+1,1))</f>
        <v>252.30925789500111</v>
      </c>
      <c r="EP58" s="59">
        <f t="shared" si="46"/>
        <v>213.96033794804805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2.8235054349035433</v>
      </c>
      <c r="EW58" s="21">
        <f>EXP(-LN(2)/25)*EW57+(1-EXP(-LN(2)/25))/(LN(2)/25)*Calculateur!ER58*Calculateur!ET58*VLOOKUP('Données projet'!$B$15,Paramètres!$A$1:$I$89,3,0)*0.475*44/12</f>
        <v>4.6142029803624656</v>
      </c>
      <c r="EX58" s="21">
        <f>EXP(-LN(2)/2)*EX57+(1-EXP(-LN(2)/2))/(LN(2)/2)*ER58*EU58*VLOOKUP('Données projet'!$B$15,Paramètres!$A$1:$I$89,3,0)*0.475*44/12</f>
        <v>2.4820446888958766E-3</v>
      </c>
      <c r="EY58" s="22">
        <f t="shared" si="21"/>
        <v>7.4401904599549047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17.3</v>
      </c>
      <c r="FE58" s="12">
        <f>IF('Données projet'!$A$218&gt;35,FE57+FD58-FM57,IF(A58&lt;'Données projet'!$A$218,$FB$205^A58,IF(A58='Données projet'!$A$218,'Données projet'!$B$218,FE57+FD58-FM57)))</f>
        <v>478.49999999999983</v>
      </c>
      <c r="FF58" s="17">
        <f>FE58*VLOOKUP('Données projet'!$B$16,Paramètres!$A$1:$I$89,3,0)*VLOOKUP('Données projet'!$B$16,Paramètres!$A$1:$I$89,5,0)</f>
        <v>230.15849999999992</v>
      </c>
      <c r="FG58" s="13">
        <f t="shared" si="47"/>
        <v>56.316951562687294</v>
      </c>
      <c r="FH58" s="20">
        <f t="shared" si="22"/>
        <v>498.94474480501361</v>
      </c>
      <c r="FI58" s="59">
        <f t="shared" si="23"/>
        <v>792.27807813834693</v>
      </c>
      <c r="FJ58" s="59">
        <f ca="1">AVERAGE(OFFSET($FI$3,0,0,'Données projet'!$E$16+1,1))-AVERAGE(OFFSET($H$3,0,0,'Données projet'!$E$16+1,1))</f>
        <v>252.30925789500111</v>
      </c>
      <c r="FK58" s="59">
        <f t="shared" si="48"/>
        <v>213.96033794804805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2.8235054349035433</v>
      </c>
      <c r="FR58" s="21">
        <f>EXP(-LN(2)/25)*FR57+(1-EXP(-LN(2)/25))/(LN(2)/25)*Calculateur!FM58*Calculateur!FO58*VLOOKUP('Données projet'!$B$16,Paramètres!$A$1:$I$89,3,0)*0.475*44/12</f>
        <v>4.6142029803624656</v>
      </c>
      <c r="FS58" s="21">
        <f>EXP(-LN(2)/2)*FS57+(1-EXP(-LN(2)/2))/(LN(2)/2)*FM58*FP58*VLOOKUP('Données projet'!$B$16,Paramètres!$A$1:$I$89,3,0)*0.475*44/12</f>
        <v>2.4820446888958766E-3</v>
      </c>
      <c r="FT58" s="22">
        <f t="shared" si="24"/>
        <v>7.4401904599549047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2.125</v>
      </c>
      <c r="FZ58" s="12">
        <f>IF('Données projet'!$A$244&gt;35,FZ57+FY58-GH57,IF(A58&lt;'Données projet'!$A$244,$FW$205^A58,IF(A58='Données projet'!$A$244,'Données projet'!$B$244,FZ57+FY58-GH57)))</f>
        <v>226.125</v>
      </c>
      <c r="GA58" s="17">
        <f>FZ58*VLOOKUP('Données projet'!$B$17,Paramètres!$A$1:$I$89,3,0)*VLOOKUP('Données projet'!$B$17,Paramètres!$A$1:$I$89,5,0)</f>
        <v>135.22274999999999</v>
      </c>
      <c r="GB58" s="13">
        <f t="shared" si="49"/>
        <v>35.200403047414646</v>
      </c>
      <c r="GC58" s="20">
        <f t="shared" si="25"/>
        <v>296.82032489091381</v>
      </c>
      <c r="GD58" s="59">
        <f t="shared" si="26"/>
        <v>590.15365822424712</v>
      </c>
      <c r="GE58" s="59">
        <f ca="1">AVERAGE(OFFSET($GD$3,0,0,'Données projet'!$E$17+1,1))-AVERAGE(OFFSET($H$3,0,0,'Données projet'!$E$17+1,1))</f>
        <v>117.54638373164624</v>
      </c>
      <c r="GF58" s="59">
        <f t="shared" si="50"/>
        <v>133.0740262536583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1.3484111509563421</v>
      </c>
      <c r="GM58" s="21">
        <f>EXP(-LN(2)/25)*GM57+(1-EXP(-LN(2)/25))/(LN(2)/25)*Calculateur!GH58*Calculateur!GJ58*VLOOKUP('Données projet'!$B$17,Paramètres!$A$1:$I$89,3,0)*0.475*44/12</f>
        <v>4.3277946014422808</v>
      </c>
      <c r="GN58" s="21">
        <f>EXP(-LN(2)/2)*GN57+(1-EXP(-LN(2)/2))/(LN(2)/2)*GH58*GK58*VLOOKUP('Données projet'!$B$17,Paramètres!$A$1:$I$89,3,0)*0.475*44/12</f>
        <v>6.983926932258715E-4</v>
      </c>
      <c r="GO58" s="21">
        <f t="shared" si="27"/>
        <v>5.6769041450918492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2.8421709430404007E-14</v>
      </c>
      <c r="GV58" s="17">
        <f>GU58*VLOOKUP('Données projet'!$B$18,Paramètres!$A$1:$I$89,3,0)*VLOOKUP('Données projet'!$B$18,Paramètres!$A$1:$I$89,5,0)</f>
        <v>1.3567387213697657E-14</v>
      </c>
      <c r="GW58" s="13">
        <f t="shared" si="51"/>
        <v>2.5717320947985821E-13</v>
      </c>
      <c r="GX58" s="20">
        <f t="shared" si="28"/>
        <v>4.7153987257460977E-13</v>
      </c>
      <c r="GY58" s="59">
        <f t="shared" si="29"/>
        <v>293.33333333333377</v>
      </c>
      <c r="GZ58" s="59">
        <f ca="1">AVERAGE(OFFSET($GY$3,0,0,'Données projet'!$E$18+1,1))-AVERAGE(OFFSET($H$3,0,0,'Données projet'!$E$18+1,1))</f>
        <v>43.147469606759159</v>
      </c>
      <c r="HA58" s="59">
        <f t="shared" si="52"/>
        <v>147.46995307968473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21.980066141251541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9.5152034146101135E-5</v>
      </c>
      <c r="HJ58" s="22">
        <f t="shared" si="30"/>
        <v>21.980161293285686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5.5</v>
      </c>
      <c r="N59" s="13">
        <f>IF('Données projet'!$A$36&gt;35,N58+M59-V58,IF(A59&lt;'Données projet'!$A$36,$K$205^A59,IF(A59='Données projet'!$A$36,'Données projet'!$B$36,N58+M59-V58)))</f>
        <v>139.99999999999997</v>
      </c>
      <c r="O59" s="13">
        <f>N59*VLOOKUP('Données projet'!$B$9,Paramètres!$A$1:$I$89,3,0)*VLOOKUP('Données projet'!$B$9,Paramètres!$A$1:$I$89,5,0)</f>
        <v>126.67199999999997</v>
      </c>
      <c r="P59" s="13">
        <f t="shared" si="33"/>
        <v>33.226199426361319</v>
      </c>
      <c r="Q59" s="20">
        <f t="shared" si="53"/>
        <v>278.48936400091259</v>
      </c>
      <c r="R59" s="59">
        <f t="shared" si="0"/>
        <v>571.82269733424596</v>
      </c>
      <c r="S59" s="59">
        <f ca="1">AVERAGE(OFFSET($R$3,0,0,'Données projet'!$E$9+1,1))-AVERAGE(OFFSET($H$3,0,0,'Données projet'!$E$9+1,1))</f>
        <v>138.8931001150624</v>
      </c>
      <c r="T59" s="59">
        <f t="shared" si="34"/>
        <v>48.964659354096625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197.59999999999971</v>
      </c>
      <c r="AJ59" s="13">
        <f>AI59*VLOOKUP('Données projet'!$B$10,Paramètres!$A$1:$I$89,3,0)*VLOOKUP('Données projet'!$B$10,Paramètres!$A$1:$I$89,5,0)</f>
        <v>172.62335999999976</v>
      </c>
      <c r="AK59" s="13">
        <f t="shared" si="35"/>
        <v>43.677044279986035</v>
      </c>
      <c r="AL59" s="20">
        <f t="shared" si="4"/>
        <v>376.72320412097525</v>
      </c>
      <c r="AM59" s="59">
        <f t="shared" si="5"/>
        <v>670.05653745430857</v>
      </c>
      <c r="AN59" s="59">
        <f ca="1">AVERAGE(OFFSET($AM$3,0,0,'Données projet'!$E$10+1,1))-AVERAGE(OFFSET($H$3,0,0,'Données projet'!$E$10+1,1))</f>
        <v>191.94797389630673</v>
      </c>
      <c r="AO59" s="59">
        <f t="shared" si="36"/>
        <v>273.52540822767878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6.8320018095972914</v>
      </c>
      <c r="AW59" s="21">
        <f>EXP(-LN(2)/2)*AW58+(1-EXP(-LN(2)/2))/(LN(2)/2)*AQ59*AT59*VLOOKUP('Données projet'!$B$10,Paramètres!$A$1:$I$89,3,0)*0.475*44/12</f>
        <v>2.8324051415612029E-3</v>
      </c>
      <c r="AX59" s="21">
        <f t="shared" si="6"/>
        <v>8.373334561028388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7.4</v>
      </c>
      <c r="BD59" s="12">
        <f>IF('Données projet'!$A$88&gt;35,BD58+BC59-BL58,IF(A59&lt;'Données projet'!$A$88,$BA$205^A59,IF(A59='Données projet'!$A$88,'Données projet'!$B$88,BD58+BC59-BL58)))</f>
        <v>265.40000000000003</v>
      </c>
      <c r="BE59" s="13">
        <f>BD59*VLOOKUP('Données projet'!$B$11,Paramètres!$A$1:$I$89,3,0)*VLOOKUP('Données projet'!$B$11,Paramètres!$A$1:$I$89,5,0)</f>
        <v>165.60960000000003</v>
      </c>
      <c r="BF59" s="13">
        <f t="shared" si="37"/>
        <v>42.105227662764051</v>
      </c>
      <c r="BG59" s="20">
        <f t="shared" si="7"/>
        <v>361.76999151264744</v>
      </c>
      <c r="BH59" s="59">
        <f t="shared" si="8"/>
        <v>655.10332484598075</v>
      </c>
      <c r="BI59" s="59">
        <f ca="1">AVERAGE(OFFSET($BH$3,0,0,'Données projet'!$E$11+1,1))-AVERAGE(OFFSET($H$3,0,0,'Données projet'!$E$11+1,1))</f>
        <v>162.91481796710048</v>
      </c>
      <c r="BJ59" s="59">
        <f t="shared" si="38"/>
        <v>182.56192390367823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1.6619958729609385</v>
      </c>
      <c r="BQ59" s="21">
        <f>EXP(-LN(2)/25)*BQ58+(1-EXP(-LN(2)/25))/(LN(2)/25)*Calculateur!BL59*Calculateur!BN59*VLOOKUP('Données projet'!$B$11,Paramètres!$A$1:$I$89,3,0)*0.475*44/12</f>
        <v>7.4304018608630296</v>
      </c>
      <c r="BR59" s="21">
        <f>EXP(-LN(2)/2)*BR58+(1-EXP(-LN(2)/2))/(LN(2)/2)*BL59*BO59*VLOOKUP('Données projet'!$B$11,Paramètres!$A$1:$I$89,3,0)*0.475*44/12</f>
        <v>2.1935687751046657E-3</v>
      </c>
      <c r="BS59" s="22">
        <f t="shared" si="9"/>
        <v>9.0945913025990741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</v>
      </c>
      <c r="BY59" s="12">
        <f>IF('Données projet'!$A$114&gt;35,BY58+BX59-CG58,IF(A59&lt;'Données projet'!$A$114,$BV$205^A59,IF(A59='Données projet'!$A$114,'Données projet'!$B$114,BY58+BX59-CG58)))</f>
        <v>243.09999999999997</v>
      </c>
      <c r="BZ59" s="13">
        <f>BY59*VLOOKUP('Données projet'!$B$12,Paramètres!$A$1:$I$89,3,0)*VLOOKUP('Données projet'!$B$12,Paramètres!$A$1:$I$89,5,0)</f>
        <v>113.77079999999999</v>
      </c>
      <c r="CA59" s="13">
        <f t="shared" si="39"/>
        <v>30.217664170580228</v>
      </c>
      <c r="CB59" s="20">
        <f t="shared" si="10"/>
        <v>250.77990843042718</v>
      </c>
      <c r="CC59" s="59">
        <f t="shared" si="11"/>
        <v>544.11324176376047</v>
      </c>
      <c r="CD59" s="59">
        <f ca="1">AVERAGE(OFFSET($CC$3,0,0,'Données projet'!$E$12+1,1))-AVERAGE(OFFSET($H$3,0,0,'Données projet'!$E$12+1,1))</f>
        <v>123.60520571614535</v>
      </c>
      <c r="CE59" s="59">
        <f t="shared" si="40"/>
        <v>119.00926870519527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0.51826076663536447</v>
      </c>
      <c r="CL59" s="21">
        <f>EXP(-LN(2)/25)*CL58+(1-EXP(-LN(2)/25))/(LN(2)/25)*Calculateur!CG59*Calculateur!CI59*VLOOKUP('Données projet'!$B$12,Paramètres!$A$1:$I$89,3,0)*0.475*44/12</f>
        <v>2.3230687494855746</v>
      </c>
      <c r="CM59" s="21">
        <f>EXP(-LN(2)/2)*CM58+(1-EXP(-LN(2)/2))/(LN(2)/2)*CG59*CJ59*VLOOKUP('Données projet'!$B$12,Paramètres!$A$1:$I$89,3,0)*0.475*44/12</f>
        <v>7.4630255018097479E-4</v>
      </c>
      <c r="CN59" s="22">
        <f t="shared" si="12"/>
        <v>2.8420758186711197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5.5</v>
      </c>
      <c r="CT59" s="12">
        <f>IF('Données projet'!$A$140&gt;35,CT58+CS59-DB58,IF(A59&lt;'Données projet'!$A$140,$CQ$205^A59,IF(A59='Données projet'!$A$140,'Données projet'!$B$140,CT58+CS59-DB58)))</f>
        <v>139.99999999999997</v>
      </c>
      <c r="CU59" s="17">
        <f>CT59*VLOOKUP('Données projet'!$B$13,Paramètres!$A$1:$I$89,3,0)*VLOOKUP('Données projet'!$B$13,Paramètres!$A$1:$I$89,5,0)</f>
        <v>146.32799999999997</v>
      </c>
      <c r="CV59" s="13">
        <f t="shared" si="41"/>
        <v>37.74291056436379</v>
      </c>
      <c r="CW59" s="20">
        <f t="shared" si="13"/>
        <v>320.59016923293353</v>
      </c>
      <c r="CX59" s="59">
        <f t="shared" si="14"/>
        <v>613.92350256626685</v>
      </c>
      <c r="CY59" s="59">
        <f ca="1">AVERAGE(OFFSET($CX$3,0,0,'Données projet'!$E$13+1,1))-AVERAGE(OFFSET($H$3,0,0,'Données projet'!$E$13+1,1))</f>
        <v>177.94336949486529</v>
      </c>
      <c r="CZ59" s="59">
        <f t="shared" si="42"/>
        <v>65.559373432574603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</v>
      </c>
      <c r="DO59" s="12">
        <f>IF('Données projet'!$A$166&gt;35,DO58+DN59-DW58,IF(A59&lt;'Données projet'!$A$166,$DL$205^A59,IF(A59='Données projet'!$A$166,'Données projet'!$B$166,DO58+DN59-DW58)))</f>
        <v>285.59999999999997</v>
      </c>
      <c r="DP59" s="17">
        <f>DO59*VLOOKUP('Données projet'!$B$14,Paramètres!$A$1:$I$89,3,0)*VLOOKUP('Données projet'!$B$14,Paramètres!$A$1:$I$89,5,0)</f>
        <v>170.78879999999998</v>
      </c>
      <c r="DQ59" s="13">
        <f t="shared" si="43"/>
        <v>43.26664091952621</v>
      </c>
      <c r="DR59" s="20">
        <f t="shared" si="16"/>
        <v>372.81322626817473</v>
      </c>
      <c r="DS59" s="59">
        <f t="shared" si="17"/>
        <v>666.14655960150799</v>
      </c>
      <c r="DT59" s="59">
        <f ca="1">AVERAGE(OFFSET($DS$3,0,0,'Données projet'!$E$14+1,1))-AVERAGE(OFFSET($H$3,0,0,'Données projet'!$E$14+1,1))</f>
        <v>165.39579887388538</v>
      </c>
      <c r="DU59" s="59">
        <f t="shared" si="44"/>
        <v>155.89639262545802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3.5449601835935298</v>
      </c>
      <c r="EC59" s="21">
        <f>EXP(-LN(2)/2)*EC58+(1-EXP(-LN(2)/2))/(LN(2)/2)*DW59*DZ59*VLOOKUP('Données projet'!$B$14,Paramètres!$A$1:$I$89,3,0)*0.475*44/12</f>
        <v>1.6943402997286318E-3</v>
      </c>
      <c r="ED59" s="22">
        <f t="shared" si="18"/>
        <v>3.5466545238932583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17.3</v>
      </c>
      <c r="EJ59" s="12">
        <f>IF('Données projet'!$A$192&gt;35,EJ58+EI59-ER58,IF(A59&lt;'Données projet'!$A$192,$EG$205^A59,IF(A59='Données projet'!$A$192,'Données projet'!$B$192,EJ58+EI59-ER58)))</f>
        <v>495.79999999999984</v>
      </c>
      <c r="EK59" s="17">
        <f>EJ59*VLOOKUP('Données projet'!$B$15,Paramètres!$A$1:$I$89,3,0)*VLOOKUP('Données projet'!$B$15,Paramètres!$A$1:$I$89,5,0)</f>
        <v>238.47979999999993</v>
      </c>
      <c r="EL59" s="13">
        <f t="shared" si="45"/>
        <v>58.112331184574863</v>
      </c>
      <c r="EM59" s="20">
        <f t="shared" si="19"/>
        <v>516.56462847980106</v>
      </c>
      <c r="EN59" s="59">
        <f t="shared" si="20"/>
        <v>809.89796181313432</v>
      </c>
      <c r="EO59" s="59">
        <f ca="1">AVERAGE(OFFSET($EN$3,0,0,'Données projet'!$E$15+1,1))-AVERAGE(OFFSET($H$3,0,0,'Données projet'!$E$15+1,1))</f>
        <v>252.30925789500111</v>
      </c>
      <c r="EP59" s="59">
        <f t="shared" si="46"/>
        <v>213.96033794804805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2.7681382154933503</v>
      </c>
      <c r="EW59" s="21">
        <f>EXP(-LN(2)/25)*EW58+(1-EXP(-LN(2)/25))/(LN(2)/25)*Calculateur!ER59*Calculateur!ET59*VLOOKUP('Données projet'!$B$15,Paramètres!$A$1:$I$89,3,0)*0.475*44/12</f>
        <v>4.4880273572140652</v>
      </c>
      <c r="EX59" s="21">
        <f>EXP(-LN(2)/2)*EX58+(1-EXP(-LN(2)/2))/(LN(2)/2)*ER59*EU59*VLOOKUP('Données projet'!$B$15,Paramètres!$A$1:$I$89,3,0)*0.475*44/12</f>
        <v>1.7550706307263291E-3</v>
      </c>
      <c r="EY59" s="22">
        <f t="shared" si="21"/>
        <v>7.2579206433381414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17.3</v>
      </c>
      <c r="FE59" s="12">
        <f>IF('Données projet'!$A$218&gt;35,FE58+FD59-FM58,IF(A59&lt;'Données projet'!$A$218,$FB$205^A59,IF(A59='Données projet'!$A$218,'Données projet'!$B$218,FE58+FD59-FM58)))</f>
        <v>495.79999999999984</v>
      </c>
      <c r="FF59" s="17">
        <f>FE59*VLOOKUP('Données projet'!$B$16,Paramètres!$A$1:$I$89,3,0)*VLOOKUP('Données projet'!$B$16,Paramètres!$A$1:$I$89,5,0)</f>
        <v>238.47979999999993</v>
      </c>
      <c r="FG59" s="13">
        <f t="shared" si="47"/>
        <v>58.112331184574863</v>
      </c>
      <c r="FH59" s="20">
        <f t="shared" si="22"/>
        <v>516.56462847980106</v>
      </c>
      <c r="FI59" s="59">
        <f t="shared" si="23"/>
        <v>809.89796181313432</v>
      </c>
      <c r="FJ59" s="59">
        <f ca="1">AVERAGE(OFFSET($FI$3,0,0,'Données projet'!$E$16+1,1))-AVERAGE(OFFSET($H$3,0,0,'Données projet'!$E$16+1,1))</f>
        <v>252.30925789500111</v>
      </c>
      <c r="FK59" s="59">
        <f t="shared" si="48"/>
        <v>213.96033794804805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2.7681382154933503</v>
      </c>
      <c r="FR59" s="21">
        <f>EXP(-LN(2)/25)*FR58+(1-EXP(-LN(2)/25))/(LN(2)/25)*Calculateur!FM59*Calculateur!FO59*VLOOKUP('Données projet'!$B$16,Paramètres!$A$1:$I$89,3,0)*0.475*44/12</f>
        <v>4.4880273572140652</v>
      </c>
      <c r="FS59" s="21">
        <f>EXP(-LN(2)/2)*FS58+(1-EXP(-LN(2)/2))/(LN(2)/2)*FM59*FP59*VLOOKUP('Données projet'!$B$16,Paramètres!$A$1:$I$89,3,0)*0.475*44/12</f>
        <v>1.7550706307263291E-3</v>
      </c>
      <c r="FT59" s="22">
        <f t="shared" si="24"/>
        <v>7.2579206433381414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2.125</v>
      </c>
      <c r="FZ59" s="12">
        <f>IF('Données projet'!$A$244&gt;35,FZ58+FY59-GH58,IF(A59&lt;'Données projet'!$A$244,$FW$205^A59,IF(A59='Données projet'!$A$244,'Données projet'!$B$244,FZ58+FY59-GH58)))</f>
        <v>228.25</v>
      </c>
      <c r="GA59" s="17">
        <f>FZ59*VLOOKUP('Données projet'!$B$17,Paramètres!$A$1:$I$89,3,0)*VLOOKUP('Données projet'!$B$17,Paramètres!$A$1:$I$89,5,0)</f>
        <v>136.49350000000001</v>
      </c>
      <c r="GB59" s="13">
        <f t="shared" si="49"/>
        <v>35.492533566506438</v>
      </c>
      <c r="GC59" s="20">
        <f t="shared" si="25"/>
        <v>299.54234179499872</v>
      </c>
      <c r="GD59" s="59">
        <f t="shared" si="26"/>
        <v>592.87567512833198</v>
      </c>
      <c r="GE59" s="59">
        <f ca="1">AVERAGE(OFFSET($GD$3,0,0,'Données projet'!$E$17+1,1))-AVERAGE(OFFSET($H$3,0,0,'Données projet'!$E$17+1,1))</f>
        <v>117.54638373164624</v>
      </c>
      <c r="GF59" s="59">
        <f t="shared" si="50"/>
        <v>133.0740262536583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1.3219696307356801</v>
      </c>
      <c r="GM59" s="21">
        <f>EXP(-LN(2)/25)*GM58+(1-EXP(-LN(2)/25))/(LN(2)/25)*Calculateur!GH59*Calculateur!GJ59*VLOOKUP('Données projet'!$B$17,Paramètres!$A$1:$I$89,3,0)*0.475*44/12</f>
        <v>4.2094508304770146</v>
      </c>
      <c r="GN59" s="21">
        <f>EXP(-LN(2)/2)*GN58+(1-EXP(-LN(2)/2))/(LN(2)/2)*GH59*GK59*VLOOKUP('Données projet'!$B$17,Paramètres!$A$1:$I$89,3,0)*0.475*44/12</f>
        <v>4.9383820931114993E-4</v>
      </c>
      <c r="GO59" s="21">
        <f t="shared" si="27"/>
        <v>5.5319142994220059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2.8421709430404007E-14</v>
      </c>
      <c r="GV59" s="17">
        <f>GU59*VLOOKUP('Données projet'!$B$18,Paramètres!$A$1:$I$89,3,0)*VLOOKUP('Données projet'!$B$18,Paramètres!$A$1:$I$89,5,0)</f>
        <v>1.3567387213697657E-14</v>
      </c>
      <c r="GW59" s="13">
        <f t="shared" si="51"/>
        <v>2.5717320947985821E-13</v>
      </c>
      <c r="GX59" s="20">
        <f t="shared" si="28"/>
        <v>4.7153987257460977E-13</v>
      </c>
      <c r="GY59" s="59">
        <f t="shared" si="29"/>
        <v>293.33333333333377</v>
      </c>
      <c r="GZ59" s="59">
        <f ca="1">AVERAGE(OFFSET($GY$3,0,0,'Données projet'!$E$18+1,1))-AVERAGE(OFFSET($H$3,0,0,'Données projet'!$E$18+1,1))</f>
        <v>43.147469606759159</v>
      </c>
      <c r="HA59" s="59">
        <f t="shared" si="52"/>
        <v>147.46995307968473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21.549050450738161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6.7282648588402031E-5</v>
      </c>
      <c r="HJ59" s="22">
        <f t="shared" si="30"/>
        <v>21.549117733386748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5.5</v>
      </c>
      <c r="N60" s="13">
        <f>IF('Données projet'!$A$36&gt;35,N59+M60-V59,IF(A60&lt;'Données projet'!$A$36,$K$205^A60,IF(A60='Données projet'!$A$36,'Données projet'!$B$36,N59+M60-V59)))</f>
        <v>145.49999999999997</v>
      </c>
      <c r="O60" s="13">
        <f>N60*VLOOKUP('Données projet'!$B$9,Paramètres!$A$1:$I$89,3,0)*VLOOKUP('Données projet'!$B$9,Paramètres!$A$1:$I$89,5,0)</f>
        <v>131.64839999999995</v>
      </c>
      <c r="P60" s="13">
        <f t="shared" si="33"/>
        <v>34.376976398956401</v>
      </c>
      <c r="Q60" s="20">
        <f t="shared" si="53"/>
        <v>289.16086389484894</v>
      </c>
      <c r="R60" s="59">
        <f t="shared" si="0"/>
        <v>582.4941972281822</v>
      </c>
      <c r="S60" s="59">
        <f ca="1">AVERAGE(OFFSET($R$3,0,0,'Données projet'!$E$9+1,1))-AVERAGE(OFFSET($H$3,0,0,'Données projet'!$E$9+1,1))</f>
        <v>138.8931001150624</v>
      </c>
      <c r="T60" s="59">
        <f t="shared" si="34"/>
        <v>48.964659354096625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203.1999999999997</v>
      </c>
      <c r="AJ60" s="13">
        <f>AI60*VLOOKUP('Données projet'!$B$10,Paramètres!$A$1:$I$89,3,0)*VLOOKUP('Données projet'!$B$10,Paramètres!$A$1:$I$89,5,0)</f>
        <v>177.51551999999975</v>
      </c>
      <c r="AK60" s="13">
        <f t="shared" si="35"/>
        <v>44.768988809542861</v>
      </c>
      <c r="AL60" s="20">
        <f t="shared" si="4"/>
        <v>387.14551950995337</v>
      </c>
      <c r="AM60" s="59">
        <f t="shared" si="5"/>
        <v>680.47885284328663</v>
      </c>
      <c r="AN60" s="59">
        <f ca="1">AVERAGE(OFFSET($AM$3,0,0,'Données projet'!$E$10+1,1))-AVERAGE(OFFSET($H$3,0,0,'Données projet'!$E$10+1,1))</f>
        <v>191.94797389630673</v>
      </c>
      <c r="AO60" s="59">
        <f t="shared" si="36"/>
        <v>273.52540822767878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6.6451803608344928</v>
      </c>
      <c r="AW60" s="21">
        <f>EXP(-LN(2)/2)*AW59+(1-EXP(-LN(2)/2))/(LN(2)/2)*AQ60*AT60*VLOOKUP('Données projet'!$B$10,Paramètres!$A$1:$I$89,3,0)*0.475*44/12</f>
        <v>2.0028128826655696E-3</v>
      </c>
      <c r="AX60" s="21">
        <f t="shared" si="6"/>
        <v>8.1555144666085084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7.4</v>
      </c>
      <c r="BD60" s="12">
        <f>IF('Données projet'!$A$88&gt;35,BD59+BC60-BL59,IF(A60&lt;'Données projet'!$A$88,$BA$205^A60,IF(A60='Données projet'!$A$88,'Données projet'!$B$88,BD59+BC60-BL59)))</f>
        <v>272.8</v>
      </c>
      <c r="BE60" s="13">
        <f>BD60*VLOOKUP('Données projet'!$B$11,Paramètres!$A$1:$I$89,3,0)*VLOOKUP('Données projet'!$B$11,Paramètres!$A$1:$I$89,5,0)</f>
        <v>170.22719999999998</v>
      </c>
      <c r="BF60" s="13">
        <f t="shared" si="37"/>
        <v>43.140904871338343</v>
      </c>
      <c r="BG60" s="20">
        <f t="shared" si="7"/>
        <v>371.61611598424753</v>
      </c>
      <c r="BH60" s="59">
        <f t="shared" si="8"/>
        <v>664.94944931758084</v>
      </c>
      <c r="BI60" s="59">
        <f ca="1">AVERAGE(OFFSET($BH$3,0,0,'Données projet'!$E$11+1,1))-AVERAGE(OFFSET($H$3,0,0,'Données projet'!$E$11+1,1))</f>
        <v>162.91481796710048</v>
      </c>
      <c r="BJ60" s="59">
        <f t="shared" si="38"/>
        <v>182.56192390367823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1.6294051476095608</v>
      </c>
      <c r="BQ60" s="21">
        <f>EXP(-LN(2)/25)*BQ59+(1-EXP(-LN(2)/25))/(LN(2)/25)*Calculateur!BL60*Calculateur!BN60*VLOOKUP('Données projet'!$B$11,Paramètres!$A$1:$I$89,3,0)*0.475*44/12</f>
        <v>7.227217131229879</v>
      </c>
      <c r="BR60" s="21">
        <f>EXP(-LN(2)/2)*BR59+(1-EXP(-LN(2)/2))/(LN(2)/2)*BL60*BO60*VLOOKUP('Données projet'!$B$11,Paramètres!$A$1:$I$89,3,0)*0.475*44/12</f>
        <v>1.551087355875578E-3</v>
      </c>
      <c r="BS60" s="22">
        <f t="shared" si="9"/>
        <v>8.8581733661953166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</v>
      </c>
      <c r="BY60" s="12">
        <f>IF('Données projet'!$A$114&gt;35,BY59+BX60-CG59,IF(A60&lt;'Données projet'!$A$114,$BV$205^A60,IF(A60='Données projet'!$A$114,'Données projet'!$B$114,BY59+BX60-CG59)))</f>
        <v>251.09999999999997</v>
      </c>
      <c r="BZ60" s="13">
        <f>BY60*VLOOKUP('Données projet'!$B$12,Paramètres!$A$1:$I$89,3,0)*VLOOKUP('Données projet'!$B$12,Paramètres!$A$1:$I$89,5,0)</f>
        <v>117.51479999999998</v>
      </c>
      <c r="CA60" s="13">
        <f t="shared" si="39"/>
        <v>31.094663118298477</v>
      </c>
      <c r="CB60" s="20">
        <f t="shared" si="10"/>
        <v>258.82814826436976</v>
      </c>
      <c r="CC60" s="59">
        <f t="shared" si="11"/>
        <v>552.16148159770307</v>
      </c>
      <c r="CD60" s="59">
        <f ca="1">AVERAGE(OFFSET($CC$3,0,0,'Données projet'!$E$12+1,1))-AVERAGE(OFFSET($H$3,0,0,'Données projet'!$E$12+1,1))</f>
        <v>123.60520571614535</v>
      </c>
      <c r="CE60" s="59">
        <f t="shared" si="40"/>
        <v>119.00926870519527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0.50809798910949955</v>
      </c>
      <c r="CL60" s="21">
        <f>EXP(-LN(2)/25)*CL59+(1-EXP(-LN(2)/25))/(LN(2)/25)*Calculateur!CG60*Calculateur!CI60*VLOOKUP('Données projet'!$B$12,Paramètres!$A$1:$I$89,3,0)*0.475*44/12</f>
        <v>2.2595443123660157</v>
      </c>
      <c r="CM60" s="21">
        <f>EXP(-LN(2)/2)*CM59+(1-EXP(-LN(2)/2))/(LN(2)/2)*CG60*CJ60*VLOOKUP('Données projet'!$B$12,Paramètres!$A$1:$I$89,3,0)*0.475*44/12</f>
        <v>5.2771559404978094E-4</v>
      </c>
      <c r="CN60" s="22">
        <f t="shared" si="12"/>
        <v>2.7681700170695649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5.5</v>
      </c>
      <c r="CT60" s="12">
        <f>IF('Données projet'!$A$140&gt;35,CT59+CS60-DB59,IF(A60&lt;'Données projet'!$A$140,$CQ$205^A60,IF(A60='Données projet'!$A$140,'Données projet'!$B$140,CT59+CS60-DB59)))</f>
        <v>145.49999999999997</v>
      </c>
      <c r="CU60" s="17">
        <f>CT60*VLOOKUP('Données projet'!$B$13,Paramètres!$A$1:$I$89,3,0)*VLOOKUP('Données projet'!$B$13,Paramètres!$A$1:$I$89,5,0)</f>
        <v>152.07659999999998</v>
      </c>
      <c r="CV60" s="13">
        <f t="shared" si="41"/>
        <v>39.050122135535076</v>
      </c>
      <c r="CW60" s="20">
        <f t="shared" si="13"/>
        <v>332.87904105272355</v>
      </c>
      <c r="CX60" s="59">
        <f t="shared" si="14"/>
        <v>626.21237438605681</v>
      </c>
      <c r="CY60" s="59">
        <f ca="1">AVERAGE(OFFSET($CX$3,0,0,'Données projet'!$E$13+1,1))-AVERAGE(OFFSET($H$3,0,0,'Données projet'!$E$13+1,1))</f>
        <v>177.94336949486529</v>
      </c>
      <c r="CZ60" s="59">
        <f t="shared" si="42"/>
        <v>65.559373432574603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</v>
      </c>
      <c r="DO60" s="12">
        <f>IF('Données projet'!$A$166&gt;35,DO59+DN60-DW59,IF(A60&lt;'Données projet'!$A$166,$DL$205^A60,IF(A60='Données projet'!$A$166,'Données projet'!$B$166,DO59+DN60-DW59)))</f>
        <v>295.2</v>
      </c>
      <c r="DP60" s="17">
        <f>DO60*VLOOKUP('Données projet'!$B$14,Paramètres!$A$1:$I$89,3,0)*VLOOKUP('Données projet'!$B$14,Paramètres!$A$1:$I$89,5,0)</f>
        <v>176.52960000000002</v>
      </c>
      <c r="DQ60" s="13">
        <f t="shared" si="43"/>
        <v>44.549213454343487</v>
      </c>
      <c r="DR60" s="20">
        <f t="shared" si="16"/>
        <v>385.04560009964825</v>
      </c>
      <c r="DS60" s="59">
        <f t="shared" si="17"/>
        <v>678.37893343298151</v>
      </c>
      <c r="DT60" s="59">
        <f ca="1">AVERAGE(OFFSET($DS$3,0,0,'Données projet'!$E$14+1,1))-AVERAGE(OFFSET($H$3,0,0,'Données projet'!$E$14+1,1))</f>
        <v>165.39579887388538</v>
      </c>
      <c r="DU60" s="59">
        <f t="shared" si="44"/>
        <v>155.89639262545802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3.4480230609518108</v>
      </c>
      <c r="EC60" s="21">
        <f>EXP(-LN(2)/2)*EC59+(1-EXP(-LN(2)/2))/(LN(2)/2)*DW60*DZ60*VLOOKUP('Données projet'!$B$14,Paramètres!$A$1:$I$89,3,0)*0.475*44/12</f>
        <v>1.198079515575763E-3</v>
      </c>
      <c r="ED60" s="22">
        <f t="shared" si="18"/>
        <v>3.4492211404673867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17.3</v>
      </c>
      <c r="EJ60" s="12">
        <f>IF('Données projet'!$A$192&gt;35,EJ59+EI60-ER59,IF(A60&lt;'Données projet'!$A$192,$EG$205^A60,IF(A60='Données projet'!$A$192,'Données projet'!$B$192,EJ59+EI60-ER59)))</f>
        <v>513.0999999999998</v>
      </c>
      <c r="EK60" s="17">
        <f>EJ60*VLOOKUP('Données projet'!$B$15,Paramètres!$A$1:$I$89,3,0)*VLOOKUP('Données projet'!$B$15,Paramètres!$A$1:$I$89,5,0)</f>
        <v>246.80109999999991</v>
      </c>
      <c r="EL60" s="13">
        <f t="shared" si="45"/>
        <v>59.900431997854653</v>
      </c>
      <c r="EM60" s="20">
        <f t="shared" si="19"/>
        <v>534.17183489626336</v>
      </c>
      <c r="EN60" s="59">
        <f t="shared" si="20"/>
        <v>827.50516822959662</v>
      </c>
      <c r="EO60" s="59">
        <f ca="1">AVERAGE(OFFSET($EN$3,0,0,'Données projet'!$E$15+1,1))-AVERAGE(OFFSET($H$3,0,0,'Données projet'!$E$15+1,1))</f>
        <v>252.30925789500111</v>
      </c>
      <c r="EP60" s="59">
        <f t="shared" si="46"/>
        <v>213.96033794804805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2.7138567134851219</v>
      </c>
      <c r="EW60" s="21">
        <f>EXP(-LN(2)/25)*EW59+(1-EXP(-LN(2)/25))/(LN(2)/25)*Calculateur!ER60*Calculateur!ET60*VLOOKUP('Données projet'!$B$15,Paramètres!$A$1:$I$89,3,0)*0.475*44/12</f>
        <v>4.3653020131159455</v>
      </c>
      <c r="EX60" s="21">
        <f>EXP(-LN(2)/2)*EX59+(1-EXP(-LN(2)/2))/(LN(2)/2)*ER60*EU60*VLOOKUP('Données projet'!$B$15,Paramètres!$A$1:$I$89,3,0)*0.475*44/12</f>
        <v>1.2410223444479383E-3</v>
      </c>
      <c r="EY60" s="22">
        <f t="shared" si="21"/>
        <v>7.0803997489455153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17.3</v>
      </c>
      <c r="FE60" s="12">
        <f>IF('Données projet'!$A$218&gt;35,FE59+FD60-FM59,IF(A60&lt;'Données projet'!$A$218,$FB$205^A60,IF(A60='Données projet'!$A$218,'Données projet'!$B$218,FE59+FD60-FM59)))</f>
        <v>513.0999999999998</v>
      </c>
      <c r="FF60" s="17">
        <f>FE60*VLOOKUP('Données projet'!$B$16,Paramètres!$A$1:$I$89,3,0)*VLOOKUP('Données projet'!$B$16,Paramètres!$A$1:$I$89,5,0)</f>
        <v>246.80109999999991</v>
      </c>
      <c r="FG60" s="13">
        <f t="shared" si="47"/>
        <v>59.900431997854653</v>
      </c>
      <c r="FH60" s="20">
        <f t="shared" si="22"/>
        <v>534.17183489626336</v>
      </c>
      <c r="FI60" s="59">
        <f t="shared" si="23"/>
        <v>827.50516822959662</v>
      </c>
      <c r="FJ60" s="59">
        <f ca="1">AVERAGE(OFFSET($FI$3,0,0,'Données projet'!$E$16+1,1))-AVERAGE(OFFSET($H$3,0,0,'Données projet'!$E$16+1,1))</f>
        <v>252.30925789500111</v>
      </c>
      <c r="FK60" s="59">
        <f t="shared" si="48"/>
        <v>213.96033794804805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2.7138567134851219</v>
      </c>
      <c r="FR60" s="21">
        <f>EXP(-LN(2)/25)*FR59+(1-EXP(-LN(2)/25))/(LN(2)/25)*Calculateur!FM60*Calculateur!FO60*VLOOKUP('Données projet'!$B$16,Paramètres!$A$1:$I$89,3,0)*0.475*44/12</f>
        <v>4.3653020131159455</v>
      </c>
      <c r="FS60" s="21">
        <f>EXP(-LN(2)/2)*FS59+(1-EXP(-LN(2)/2))/(LN(2)/2)*FM60*FP60*VLOOKUP('Données projet'!$B$16,Paramètres!$A$1:$I$89,3,0)*0.475*44/12</f>
        <v>1.2410223444479383E-3</v>
      </c>
      <c r="FT60" s="22">
        <f t="shared" si="24"/>
        <v>7.0803997489455153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2.125</v>
      </c>
      <c r="FZ60" s="12">
        <f>IF('Données projet'!$A$244&gt;35,FZ59+FY60-GH59,IF(A60&lt;'Données projet'!$A$244,$FW$205^A60,IF(A60='Données projet'!$A$244,'Données projet'!$B$244,FZ59+FY60-GH59)))</f>
        <v>230.375</v>
      </c>
      <c r="GA60" s="17">
        <f>FZ60*VLOOKUP('Données projet'!$B$17,Paramètres!$A$1:$I$89,3,0)*VLOOKUP('Données projet'!$B$17,Paramètres!$A$1:$I$89,5,0)</f>
        <v>137.76425000000003</v>
      </c>
      <c r="GB60" s="13">
        <f t="shared" si="49"/>
        <v>35.784347676183451</v>
      </c>
      <c r="GC60" s="20">
        <f t="shared" si="25"/>
        <v>302.26380761935292</v>
      </c>
      <c r="GD60" s="59">
        <f t="shared" si="26"/>
        <v>595.59714095268623</v>
      </c>
      <c r="GE60" s="59">
        <f ca="1">AVERAGE(OFFSET($GD$3,0,0,'Données projet'!$E$17+1,1))-AVERAGE(OFFSET($H$3,0,0,'Données projet'!$E$17+1,1))</f>
        <v>117.54638373164624</v>
      </c>
      <c r="GF60" s="59">
        <f t="shared" si="50"/>
        <v>133.0740262536583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1.2960466125988104</v>
      </c>
      <c r="GM60" s="21">
        <f>EXP(-LN(2)/25)*GM59+(1-EXP(-LN(2)/25))/(LN(2)/25)*Calculateur!GH60*Calculateur!GJ60*VLOOKUP('Données projet'!$B$17,Paramètres!$A$1:$I$89,3,0)*0.475*44/12</f>
        <v>4.094343176152222</v>
      </c>
      <c r="GN60" s="21">
        <f>EXP(-LN(2)/2)*GN59+(1-EXP(-LN(2)/2))/(LN(2)/2)*GH60*GK60*VLOOKUP('Données projet'!$B$17,Paramètres!$A$1:$I$89,3,0)*0.475*44/12</f>
        <v>3.4919634661293575E-4</v>
      </c>
      <c r="GO60" s="21">
        <f t="shared" si="27"/>
        <v>5.390738985097645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2.8421709430404007E-14</v>
      </c>
      <c r="GV60" s="17">
        <f>GU60*VLOOKUP('Données projet'!$B$18,Paramètres!$A$1:$I$89,3,0)*VLOOKUP('Données projet'!$B$18,Paramètres!$A$1:$I$89,5,0)</f>
        <v>1.3567387213697657E-14</v>
      </c>
      <c r="GW60" s="13">
        <f t="shared" si="51"/>
        <v>2.5717320947985821E-13</v>
      </c>
      <c r="GX60" s="20">
        <f t="shared" si="28"/>
        <v>4.7153987257460977E-13</v>
      </c>
      <c r="GY60" s="59">
        <f t="shared" si="29"/>
        <v>293.33333333333377</v>
      </c>
      <c r="GZ60" s="59">
        <f ca="1">AVERAGE(OFFSET($GY$3,0,0,'Données projet'!$E$18+1,1))-AVERAGE(OFFSET($H$3,0,0,'Données projet'!$E$18+1,1))</f>
        <v>43.147469606759159</v>
      </c>
      <c r="HA60" s="59">
        <f t="shared" si="52"/>
        <v>147.46995307968473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21.126486715022136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4.7576017073050567E-5</v>
      </c>
      <c r="HJ60" s="22">
        <f t="shared" si="30"/>
        <v>21.12653429103921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5.5</v>
      </c>
      <c r="N61" s="13">
        <f>IF('Données projet'!$A$36&gt;35,N60+M61-V60,IF(A61&lt;'Données projet'!$A$36,$K$205^A61,IF(A61='Données projet'!$A$36,'Données projet'!$B$36,N60+M61-V60)))</f>
        <v>150.99999999999997</v>
      </c>
      <c r="O61" s="13">
        <f>N61*VLOOKUP('Données projet'!$B$9,Paramètres!$A$1:$I$89,3,0)*VLOOKUP('Données projet'!$B$9,Paramètres!$A$1:$I$89,5,0)</f>
        <v>136.62479999999999</v>
      </c>
      <c r="P61" s="13">
        <f t="shared" si="33"/>
        <v>35.522699804888632</v>
      </c>
      <c r="Q61" s="20">
        <f t="shared" si="53"/>
        <v>299.82356216018104</v>
      </c>
      <c r="R61" s="59">
        <f t="shared" si="0"/>
        <v>593.15689549351441</v>
      </c>
      <c r="S61" s="59">
        <f ca="1">AVERAGE(OFFSET($R$3,0,0,'Données projet'!$E$9+1,1))-AVERAGE(OFFSET($H$3,0,0,'Données projet'!$E$9+1,1))</f>
        <v>138.8931001150624</v>
      </c>
      <c r="T61" s="59">
        <f t="shared" si="34"/>
        <v>48.964659354096625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208.7999999999997</v>
      </c>
      <c r="AJ61" s="13">
        <f>AI61*VLOOKUP('Données projet'!$B$10,Paramètres!$A$1:$I$89,3,0)*VLOOKUP('Données projet'!$B$10,Paramètres!$A$1:$I$89,5,0)</f>
        <v>182.40767999999977</v>
      </c>
      <c r="AK61" s="13">
        <f t="shared" si="35"/>
        <v>45.857435663065878</v>
      </c>
      <c r="AL61" s="20">
        <f t="shared" si="4"/>
        <v>397.56174311317267</v>
      </c>
      <c r="AM61" s="59">
        <f t="shared" si="5"/>
        <v>690.89507644650598</v>
      </c>
      <c r="AN61" s="59">
        <f ca="1">AVERAGE(OFFSET($AM$3,0,0,'Données projet'!$E$10+1,1))-AVERAGE(OFFSET($H$3,0,0,'Données projet'!$E$10+1,1))</f>
        <v>191.94797389630673</v>
      </c>
      <c r="AO61" s="59">
        <f t="shared" si="36"/>
        <v>273.52540822767878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6.4634675544126265</v>
      </c>
      <c r="AW61" s="21">
        <f>EXP(-LN(2)/2)*AW60+(1-EXP(-LN(2)/2))/(LN(2)/2)*AQ61*AT61*VLOOKUP('Données projet'!$B$10,Paramètres!$A$1:$I$89,3,0)*0.475*44/12</f>
        <v>1.4162025707806015E-3</v>
      </c>
      <c r="AX61" s="21">
        <f t="shared" si="6"/>
        <v>7.9436375932124061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7.4</v>
      </c>
      <c r="BD61" s="12">
        <f>IF('Données projet'!$A$88&gt;35,BD60+BC61-BL60,IF(A61&lt;'Données projet'!$A$88,$BA$205^A61,IF(A61='Données projet'!$A$88,'Données projet'!$B$88,BD60+BC61-BL60)))</f>
        <v>280.2</v>
      </c>
      <c r="BE61" s="13">
        <f>BD61*VLOOKUP('Données projet'!$B$11,Paramètres!$A$1:$I$89,3,0)*VLOOKUP('Données projet'!$B$11,Paramètres!$A$1:$I$89,5,0)</f>
        <v>174.84479999999999</v>
      </c>
      <c r="BF61" s="13">
        <f t="shared" si="37"/>
        <v>44.17331668598117</v>
      </c>
      <c r="BG61" s="20">
        <f t="shared" si="7"/>
        <v>381.45655322808381</v>
      </c>
      <c r="BH61" s="59">
        <f t="shared" si="8"/>
        <v>674.78988656141712</v>
      </c>
      <c r="BI61" s="59">
        <f ca="1">AVERAGE(OFFSET($BH$3,0,0,'Données projet'!$E$11+1,1))-AVERAGE(OFFSET($H$3,0,0,'Données projet'!$E$11+1,1))</f>
        <v>162.91481796710048</v>
      </c>
      <c r="BJ61" s="59">
        <f t="shared" si="38"/>
        <v>182.56192390367823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1.5974535065039439</v>
      </c>
      <c r="BQ61" s="21">
        <f>EXP(-LN(2)/25)*BQ60+(1-EXP(-LN(2)/25))/(LN(2)/25)*Calculateur!BL61*Calculateur!BN61*VLOOKUP('Données projet'!$B$11,Paramètres!$A$1:$I$89,3,0)*0.475*44/12</f>
        <v>7.0295884987135668</v>
      </c>
      <c r="BR61" s="21">
        <f>EXP(-LN(2)/2)*BR60+(1-EXP(-LN(2)/2))/(LN(2)/2)*BL61*BO61*VLOOKUP('Données projet'!$B$11,Paramètres!$A$1:$I$89,3,0)*0.475*44/12</f>
        <v>1.0967843875523328E-3</v>
      </c>
      <c r="BS61" s="22">
        <f t="shared" si="9"/>
        <v>8.6281387896050639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</v>
      </c>
      <c r="BY61" s="12">
        <f>IF('Données projet'!$A$114&gt;35,BY60+BX61-CG60,IF(A61&lt;'Données projet'!$A$114,$BV$205^A61,IF(A61='Données projet'!$A$114,'Données projet'!$B$114,BY60+BX61-CG60)))</f>
        <v>259.09999999999997</v>
      </c>
      <c r="BZ61" s="13">
        <f>BY61*VLOOKUP('Données projet'!$B$12,Paramètres!$A$1:$I$89,3,0)*VLOOKUP('Données projet'!$B$12,Paramètres!$A$1:$I$89,5,0)</f>
        <v>121.25879999999998</v>
      </c>
      <c r="CA61" s="13">
        <f t="shared" si="39"/>
        <v>31.968415173452456</v>
      </c>
      <c r="CB61" s="20">
        <f t="shared" si="10"/>
        <v>266.87073309376296</v>
      </c>
      <c r="CC61" s="59">
        <f t="shared" si="11"/>
        <v>560.20406642709622</v>
      </c>
      <c r="CD61" s="59">
        <f ca="1">AVERAGE(OFFSET($CC$3,0,0,'Données projet'!$E$12+1,1))-AVERAGE(OFFSET($H$3,0,0,'Données projet'!$E$12+1,1))</f>
        <v>123.60520571614535</v>
      </c>
      <c r="CE61" s="59">
        <f t="shared" si="40"/>
        <v>119.00926870519527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0.49813449745223465</v>
      </c>
      <c r="CL61" s="21">
        <f>EXP(-LN(2)/25)*CL60+(1-EXP(-LN(2)/25))/(LN(2)/25)*Calculateur!CG61*Calculateur!CI61*VLOOKUP('Données projet'!$B$12,Paramètres!$A$1:$I$89,3,0)*0.475*44/12</f>
        <v>2.1977569543200959</v>
      </c>
      <c r="CM61" s="21">
        <f>EXP(-LN(2)/2)*CM60+(1-EXP(-LN(2)/2))/(LN(2)/2)*CG61*CJ61*VLOOKUP('Données projet'!$B$12,Paramètres!$A$1:$I$89,3,0)*0.475*44/12</f>
        <v>3.731512750904874E-4</v>
      </c>
      <c r="CN61" s="22">
        <f t="shared" si="12"/>
        <v>2.6962646030474211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5.5</v>
      </c>
      <c r="CT61" s="12">
        <f>IF('Données projet'!$A$140&gt;35,CT60+CS61-DB60,IF(A61&lt;'Données projet'!$A$140,$CQ$205^A61,IF(A61='Données projet'!$A$140,'Données projet'!$B$140,CT60+CS61-DB60)))</f>
        <v>150.99999999999997</v>
      </c>
      <c r="CU61" s="17">
        <f>CT61*VLOOKUP('Données projet'!$B$13,Paramètres!$A$1:$I$89,3,0)*VLOOKUP('Données projet'!$B$13,Paramètres!$A$1:$I$89,5,0)</f>
        <v>157.8252</v>
      </c>
      <c r="CV61" s="13">
        <f t="shared" si="41"/>
        <v>40.351593167075627</v>
      </c>
      <c r="CW61" s="20">
        <f t="shared" si="13"/>
        <v>345.15791476599003</v>
      </c>
      <c r="CX61" s="59">
        <f t="shared" si="14"/>
        <v>638.49124809932334</v>
      </c>
      <c r="CY61" s="59">
        <f ca="1">AVERAGE(OFFSET($CX$3,0,0,'Données projet'!$E$13+1,1))-AVERAGE(OFFSET($H$3,0,0,'Données projet'!$E$13+1,1))</f>
        <v>177.94336949486529</v>
      </c>
      <c r="CZ61" s="59">
        <f t="shared" si="42"/>
        <v>65.559373432574603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</v>
      </c>
      <c r="DO61" s="12">
        <f>IF('Données projet'!$A$166&gt;35,DO60+DN61-DW60,IF(A61&lt;'Données projet'!$A$166,$DL$205^A61,IF(A61='Données projet'!$A$166,'Données projet'!$B$166,DO60+DN61-DW60)))</f>
        <v>304.8</v>
      </c>
      <c r="DP61" s="17">
        <f>DO61*VLOOKUP('Données projet'!$B$14,Paramètres!$A$1:$I$89,3,0)*VLOOKUP('Données projet'!$B$14,Paramètres!$A$1:$I$89,5,0)</f>
        <v>182.2704</v>
      </c>
      <c r="DQ61" s="13">
        <f t="shared" si="43"/>
        <v>45.826939257750922</v>
      </c>
      <c r="DR61" s="20">
        <f t="shared" si="16"/>
        <v>397.26953254058282</v>
      </c>
      <c r="DS61" s="59">
        <f t="shared" si="17"/>
        <v>690.60286587391613</v>
      </c>
      <c r="DT61" s="59">
        <f ca="1">AVERAGE(OFFSET($DS$3,0,0,'Données projet'!$E$14+1,1))-AVERAGE(OFFSET($H$3,0,0,'Données projet'!$E$14+1,1))</f>
        <v>165.39579887388538</v>
      </c>
      <c r="DU61" s="59">
        <f t="shared" si="44"/>
        <v>155.89639262545802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3.3537366890264311</v>
      </c>
      <c r="EC61" s="21">
        <f>EXP(-LN(2)/2)*EC60+(1-EXP(-LN(2)/2))/(LN(2)/2)*DW61*DZ61*VLOOKUP('Données projet'!$B$14,Paramètres!$A$1:$I$89,3,0)*0.475*44/12</f>
        <v>8.471701498643159E-4</v>
      </c>
      <c r="ED61" s="22">
        <f t="shared" si="18"/>
        <v>3.3545838591762953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17.3</v>
      </c>
      <c r="EJ61" s="12">
        <f>IF('Données projet'!$A$192&gt;35,EJ60+EI61-ER60,IF(A61&lt;'Données projet'!$A$192,$EG$205^A61,IF(A61='Données projet'!$A$192,'Données projet'!$B$192,EJ60+EI61-ER60)))</f>
        <v>530.39999999999975</v>
      </c>
      <c r="EK61" s="17">
        <f>EJ61*VLOOKUP('Données projet'!$B$15,Paramètres!$A$1:$I$89,3,0)*VLOOKUP('Données projet'!$B$15,Paramètres!$A$1:$I$89,5,0)</f>
        <v>255.12239999999989</v>
      </c>
      <c r="EL61" s="13">
        <f t="shared" si="45"/>
        <v>61.681527554261443</v>
      </c>
      <c r="EM61" s="20">
        <f t="shared" si="19"/>
        <v>551.7668404903385</v>
      </c>
      <c r="EN61" s="59">
        <f t="shared" si="20"/>
        <v>845.10017382367187</v>
      </c>
      <c r="EO61" s="59">
        <f ca="1">AVERAGE(OFFSET($EN$3,0,0,'Données projet'!$E$15+1,1))-AVERAGE(OFFSET($H$3,0,0,'Données projet'!$E$15+1,1))</f>
        <v>252.30925789500111</v>
      </c>
      <c r="EP61" s="59">
        <f t="shared" si="46"/>
        <v>213.96033794804805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2.6606396386228277</v>
      </c>
      <c r="EW61" s="21">
        <f>EXP(-LN(2)/25)*EW60+(1-EXP(-LN(2)/25))/(LN(2)/25)*Calculateur!ER61*Calculateur!ET61*VLOOKUP('Données projet'!$B$15,Paramètres!$A$1:$I$89,3,0)*0.475*44/12</f>
        <v>4.245932600006034</v>
      </c>
      <c r="EX61" s="21">
        <f>EXP(-LN(2)/2)*EX60+(1-EXP(-LN(2)/2))/(LN(2)/2)*ER61*EU61*VLOOKUP('Données projet'!$B$15,Paramètres!$A$1:$I$89,3,0)*0.475*44/12</f>
        <v>8.7753531536316454E-4</v>
      </c>
      <c r="EY61" s="22">
        <f t="shared" si="21"/>
        <v>6.907449773944224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17.3</v>
      </c>
      <c r="FE61" s="12">
        <f>IF('Données projet'!$A$218&gt;35,FE60+FD61-FM60,IF(A61&lt;'Données projet'!$A$218,$FB$205^A61,IF(A61='Données projet'!$A$218,'Données projet'!$B$218,FE60+FD61-FM60)))</f>
        <v>530.39999999999975</v>
      </c>
      <c r="FF61" s="17">
        <f>FE61*VLOOKUP('Données projet'!$B$16,Paramètres!$A$1:$I$89,3,0)*VLOOKUP('Données projet'!$B$16,Paramètres!$A$1:$I$89,5,0)</f>
        <v>255.12239999999989</v>
      </c>
      <c r="FG61" s="13">
        <f t="shared" si="47"/>
        <v>61.681527554261443</v>
      </c>
      <c r="FH61" s="20">
        <f t="shared" si="22"/>
        <v>551.7668404903385</v>
      </c>
      <c r="FI61" s="59">
        <f t="shared" si="23"/>
        <v>845.10017382367187</v>
      </c>
      <c r="FJ61" s="59">
        <f ca="1">AVERAGE(OFFSET($FI$3,0,0,'Données projet'!$E$16+1,1))-AVERAGE(OFFSET($H$3,0,0,'Données projet'!$E$16+1,1))</f>
        <v>252.30925789500111</v>
      </c>
      <c r="FK61" s="59">
        <f t="shared" si="48"/>
        <v>213.96033794804805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2.6606396386228277</v>
      </c>
      <c r="FR61" s="21">
        <f>EXP(-LN(2)/25)*FR60+(1-EXP(-LN(2)/25))/(LN(2)/25)*Calculateur!FM61*Calculateur!FO61*VLOOKUP('Données projet'!$B$16,Paramètres!$A$1:$I$89,3,0)*0.475*44/12</f>
        <v>4.245932600006034</v>
      </c>
      <c r="FS61" s="21">
        <f>EXP(-LN(2)/2)*FS60+(1-EXP(-LN(2)/2))/(LN(2)/2)*FM61*FP61*VLOOKUP('Données projet'!$B$16,Paramètres!$A$1:$I$89,3,0)*0.475*44/12</f>
        <v>8.7753531536316454E-4</v>
      </c>
      <c r="FT61" s="22">
        <f t="shared" si="24"/>
        <v>6.907449773944224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2.125</v>
      </c>
      <c r="FZ61" s="12">
        <f>IF('Données projet'!$A$244&gt;35,FZ60+FY61-GH60,IF(A61&lt;'Données projet'!$A$244,$FW$205^A61,IF(A61='Données projet'!$A$244,'Données projet'!$B$244,FZ60+FY61-GH60)))</f>
        <v>232.5</v>
      </c>
      <c r="GA61" s="17">
        <f>FZ61*VLOOKUP('Données projet'!$B$17,Paramètres!$A$1:$I$89,3,0)*VLOOKUP('Données projet'!$B$17,Paramètres!$A$1:$I$89,5,0)</f>
        <v>139.035</v>
      </c>
      <c r="GB61" s="13">
        <f t="shared" si="49"/>
        <v>36.0758486331029</v>
      </c>
      <c r="GC61" s="20">
        <f t="shared" si="25"/>
        <v>304.98472803598753</v>
      </c>
      <c r="GD61" s="59">
        <f t="shared" si="26"/>
        <v>598.31806136932084</v>
      </c>
      <c r="GE61" s="59">
        <f ca="1">AVERAGE(OFFSET($GD$3,0,0,'Données projet'!$E$17+1,1))-AVERAGE(OFFSET($H$3,0,0,'Données projet'!$E$17+1,1))</f>
        <v>117.54638373164624</v>
      </c>
      <c r="GF61" s="59">
        <f t="shared" si="50"/>
        <v>133.0740262536583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1.270631929036125</v>
      </c>
      <c r="GM61" s="21">
        <f>EXP(-LN(2)/25)*GM60+(1-EXP(-LN(2)/25))/(LN(2)/25)*Calculateur!GH61*Calculateur!GJ61*VLOOKUP('Données projet'!$B$17,Paramètres!$A$1:$I$89,3,0)*0.475*44/12</f>
        <v>3.9823831466881896</v>
      </c>
      <c r="GN61" s="21">
        <f>EXP(-LN(2)/2)*GN60+(1-EXP(-LN(2)/2))/(LN(2)/2)*GH61*GK61*VLOOKUP('Données projet'!$B$17,Paramètres!$A$1:$I$89,3,0)*0.475*44/12</f>
        <v>2.4691910465557496E-4</v>
      </c>
      <c r="GO61" s="21">
        <f t="shared" si="27"/>
        <v>5.2532619948289696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2.8421709430404007E-14</v>
      </c>
      <c r="GV61" s="17">
        <f>GU61*VLOOKUP('Données projet'!$B$18,Paramètres!$A$1:$I$89,3,0)*VLOOKUP('Données projet'!$B$18,Paramètres!$A$1:$I$89,5,0)</f>
        <v>1.3567387213697657E-14</v>
      </c>
      <c r="GW61" s="13">
        <f t="shared" si="51"/>
        <v>2.5717320947985821E-13</v>
      </c>
      <c r="GX61" s="20">
        <f t="shared" si="28"/>
        <v>4.7153987257460977E-13</v>
      </c>
      <c r="GY61" s="59">
        <f t="shared" si="29"/>
        <v>293.33333333333377</v>
      </c>
      <c r="GZ61" s="59">
        <f ca="1">AVERAGE(OFFSET($GY$3,0,0,'Données projet'!$E$18+1,1))-AVERAGE(OFFSET($H$3,0,0,'Données projet'!$E$18+1,1))</f>
        <v>43.147469606759159</v>
      </c>
      <c r="HA61" s="59">
        <f t="shared" si="52"/>
        <v>147.46995307968473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20.712209196425071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3.3641324294201016E-5</v>
      </c>
      <c r="HJ61" s="22">
        <f t="shared" si="30"/>
        <v>20.712242837749365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5.5</v>
      </c>
      <c r="N62" s="13">
        <f>IF('Données projet'!$A$36&gt;35,N61+M62-V61,IF(A62&lt;'Données projet'!$A$36,$K$205^A62,IF(A62='Données projet'!$A$36,'Données projet'!$B$36,N61+M62-V61)))</f>
        <v>156.49999999999997</v>
      </c>
      <c r="O62" s="13">
        <f>N62*VLOOKUP('Données projet'!$B$9,Paramètres!$A$1:$I$89,3,0)*VLOOKUP('Données projet'!$B$9,Paramètres!$A$1:$I$89,5,0)</f>
        <v>141.60119999999998</v>
      </c>
      <c r="P62" s="13">
        <f t="shared" si="33"/>
        <v>36.66357479752002</v>
      </c>
      <c r="Q62" s="20">
        <f t="shared" si="53"/>
        <v>310.47781610568063</v>
      </c>
      <c r="R62" s="59">
        <f t="shared" si="0"/>
        <v>603.81114943901389</v>
      </c>
      <c r="S62" s="59">
        <f ca="1">AVERAGE(OFFSET($R$3,0,0,'Données projet'!$E$9+1,1))-AVERAGE(OFFSET($H$3,0,0,'Données projet'!$E$9+1,1))</f>
        <v>138.8931001150624</v>
      </c>
      <c r="T62" s="59">
        <f t="shared" si="34"/>
        <v>48.964659354096625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214.39999999999969</v>
      </c>
      <c r="AJ62" s="13">
        <f>AI62*VLOOKUP('Données projet'!$B$10,Paramètres!$A$1:$I$89,3,0)*VLOOKUP('Données projet'!$B$10,Paramètres!$A$1:$I$89,5,0)</f>
        <v>187.29983999999976</v>
      </c>
      <c r="AK62" s="13">
        <f t="shared" si="35"/>
        <v>46.942489429228068</v>
      </c>
      <c r="AL62" s="20">
        <f t="shared" si="4"/>
        <v>407.97205708923843</v>
      </c>
      <c r="AM62" s="59">
        <f t="shared" si="5"/>
        <v>701.30539042257169</v>
      </c>
      <c r="AN62" s="59">
        <f ca="1">AVERAGE(OFFSET($AM$3,0,0,'Données projet'!$E$10+1,1))-AVERAGE(OFFSET($H$3,0,0,'Données projet'!$E$10+1,1))</f>
        <v>191.94797389630673</v>
      </c>
      <c r="AO62" s="59">
        <f t="shared" si="36"/>
        <v>273.52540822767878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6.2867236942382272</v>
      </c>
      <c r="AW62" s="21">
        <f>EXP(-LN(2)/2)*AW61+(1-EXP(-LN(2)/2))/(LN(2)/2)*AQ62*AT62*VLOOKUP('Données projet'!$B$10,Paramètres!$A$1:$I$89,3,0)*0.475*44/12</f>
        <v>1.0014064413327848E-3</v>
      </c>
      <c r="AX62" s="21">
        <f t="shared" si="6"/>
        <v>7.7374814761308883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7.4</v>
      </c>
      <c r="BD62" s="12">
        <f>IF('Données projet'!$A$88&gt;35,BD61+BC62-BL61,IF(A62&lt;'Données projet'!$A$88,$BA$205^A62,IF(A62='Données projet'!$A$88,'Données projet'!$B$88,BD61+BC62-BL61)))</f>
        <v>287.59999999999997</v>
      </c>
      <c r="BE62" s="13">
        <f>BD62*VLOOKUP('Données projet'!$B$11,Paramètres!$A$1:$I$89,3,0)*VLOOKUP('Données projet'!$B$11,Paramètres!$A$1:$I$89,5,0)</f>
        <v>179.46239999999997</v>
      </c>
      <c r="BF62" s="13">
        <f t="shared" si="37"/>
        <v>45.202559257702561</v>
      </c>
      <c r="BG62" s="20">
        <f t="shared" si="7"/>
        <v>391.29147070716522</v>
      </c>
      <c r="BH62" s="59">
        <f t="shared" si="8"/>
        <v>684.62480404049847</v>
      </c>
      <c r="BI62" s="59">
        <f ca="1">AVERAGE(OFFSET($BH$3,0,0,'Données projet'!$E$11+1,1))-AVERAGE(OFFSET($H$3,0,0,'Données projet'!$E$11+1,1))</f>
        <v>162.91481796710048</v>
      </c>
      <c r="BJ62" s="59">
        <f t="shared" si="38"/>
        <v>182.56192390367823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1.5661284175918315</v>
      </c>
      <c r="BQ62" s="21">
        <f>EXP(-LN(2)/25)*BQ61+(1-EXP(-LN(2)/25))/(LN(2)/25)*Calculateur!BL62*Calculateur!BN62*VLOOKUP('Données projet'!$B$11,Paramètres!$A$1:$I$89,3,0)*0.475*44/12</f>
        <v>6.8373640315462518</v>
      </c>
      <c r="BR62" s="21">
        <f>EXP(-LN(2)/2)*BR61+(1-EXP(-LN(2)/2))/(LN(2)/2)*BL62*BO62*VLOOKUP('Données projet'!$B$11,Paramètres!$A$1:$I$89,3,0)*0.475*44/12</f>
        <v>7.7554367793778898E-4</v>
      </c>
      <c r="BS62" s="22">
        <f t="shared" si="9"/>
        <v>8.4042679928160204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</v>
      </c>
      <c r="BY62" s="12">
        <f>IF('Données projet'!$A$114&gt;35,BY61+BX62-CG61,IF(A62&lt;'Données projet'!$A$114,$BV$205^A62,IF(A62='Données projet'!$A$114,'Données projet'!$B$114,BY61+BX62-CG61)))</f>
        <v>267.09999999999997</v>
      </c>
      <c r="BZ62" s="13">
        <f>BY62*VLOOKUP('Données projet'!$B$12,Paramètres!$A$1:$I$89,3,0)*VLOOKUP('Données projet'!$B$12,Paramètres!$A$1:$I$89,5,0)</f>
        <v>125.00279999999998</v>
      </c>
      <c r="CA62" s="13">
        <f t="shared" si="39"/>
        <v>32.839032091861341</v>
      </c>
      <c r="CB62" s="20">
        <f t="shared" si="10"/>
        <v>274.90785755999178</v>
      </c>
      <c r="CC62" s="59">
        <f t="shared" si="11"/>
        <v>568.2411908933251</v>
      </c>
      <c r="CD62" s="59">
        <f ca="1">AVERAGE(OFFSET($CC$3,0,0,'Données projet'!$E$12+1,1))-AVERAGE(OFFSET($H$3,0,0,'Données projet'!$E$12+1,1))</f>
        <v>123.60520571614535</v>
      </c>
      <c r="CE62" s="59">
        <f t="shared" si="40"/>
        <v>119.00926870519527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0.48836638378923886</v>
      </c>
      <c r="CL62" s="21">
        <f>EXP(-LN(2)/25)*CL61+(1-EXP(-LN(2)/25))/(LN(2)/25)*Calculateur!CG62*Calculateur!CI62*VLOOKUP('Données projet'!$B$12,Paramètres!$A$1:$I$89,3,0)*0.475*44/12</f>
        <v>2.1376591748291975</v>
      </c>
      <c r="CM62" s="21">
        <f>EXP(-LN(2)/2)*CM61+(1-EXP(-LN(2)/2))/(LN(2)/2)*CG62*CJ62*VLOOKUP('Données projet'!$B$12,Paramètres!$A$1:$I$89,3,0)*0.475*44/12</f>
        <v>2.6385779702489047E-4</v>
      </c>
      <c r="CN62" s="22">
        <f t="shared" si="12"/>
        <v>2.6262894164154611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5.5</v>
      </c>
      <c r="CT62" s="12">
        <f>IF('Données projet'!$A$140&gt;35,CT61+CS62-DB61,IF(A62&lt;'Données projet'!$A$140,$CQ$205^A62,IF(A62='Données projet'!$A$140,'Données projet'!$B$140,CT61+CS62-DB61)))</f>
        <v>156.49999999999997</v>
      </c>
      <c r="CU62" s="17">
        <f>CT62*VLOOKUP('Données projet'!$B$13,Paramètres!$A$1:$I$89,3,0)*VLOOKUP('Données projet'!$B$13,Paramètres!$A$1:$I$89,5,0)</f>
        <v>163.57379999999998</v>
      </c>
      <c r="CV62" s="13">
        <f t="shared" si="41"/>
        <v>41.647556700534814</v>
      </c>
      <c r="CW62" s="20">
        <f t="shared" si="13"/>
        <v>357.42719625343142</v>
      </c>
      <c r="CX62" s="59">
        <f t="shared" si="14"/>
        <v>650.76052958676473</v>
      </c>
      <c r="CY62" s="59">
        <f ca="1">AVERAGE(OFFSET($CX$3,0,0,'Données projet'!$E$13+1,1))-AVERAGE(OFFSET($H$3,0,0,'Données projet'!$E$13+1,1))</f>
        <v>177.94336949486529</v>
      </c>
      <c r="CZ62" s="59">
        <f t="shared" si="42"/>
        <v>65.559373432574603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</v>
      </c>
      <c r="DO62" s="12">
        <f>IF('Données projet'!$A$166&gt;35,DO61+DN62-DW61,IF(A62&lt;'Données projet'!$A$166,$DL$205^A62,IF(A62='Données projet'!$A$166,'Données projet'!$B$166,DO61+DN62-DW61)))</f>
        <v>314.40000000000003</v>
      </c>
      <c r="DP62" s="17">
        <f>DO62*VLOOKUP('Données projet'!$B$14,Paramètres!$A$1:$I$89,3,0)*VLOOKUP('Données projet'!$B$14,Paramètres!$A$1:$I$89,5,0)</f>
        <v>188.01120000000003</v>
      </c>
      <c r="DQ62" s="13">
        <f t="shared" si="43"/>
        <v>47.099988496590989</v>
      </c>
      <c r="DR62" s="20">
        <f t="shared" si="16"/>
        <v>409.48531996489601</v>
      </c>
      <c r="DS62" s="59">
        <f t="shared" si="17"/>
        <v>702.81865329822926</v>
      </c>
      <c r="DT62" s="59">
        <f ca="1">AVERAGE(OFFSET($DS$3,0,0,'Données projet'!$E$14+1,1))-AVERAGE(OFFSET($H$3,0,0,'Données projet'!$E$14+1,1))</f>
        <v>165.39579887388538</v>
      </c>
      <c r="DU62" s="59">
        <f t="shared" si="44"/>
        <v>155.89639262545802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3.262028582899656</v>
      </c>
      <c r="EC62" s="21">
        <f>EXP(-LN(2)/2)*EC61+(1-EXP(-LN(2)/2))/(LN(2)/2)*DW62*DZ62*VLOOKUP('Données projet'!$B$14,Paramètres!$A$1:$I$89,3,0)*0.475*44/12</f>
        <v>5.9903975778788148E-4</v>
      </c>
      <c r="ED62" s="22">
        <f t="shared" si="18"/>
        <v>3.262627622657444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17.3</v>
      </c>
      <c r="EJ62" s="12">
        <f>IF('Données projet'!$A$192&gt;35,EJ61+EI62-ER61,IF(A62&lt;'Données projet'!$A$192,$EG$205^A62,IF(A62='Données projet'!$A$192,'Données projet'!$B$192,EJ61+EI62-ER61)))</f>
        <v>547.6999999999997</v>
      </c>
      <c r="EK62" s="17">
        <f>EJ62*VLOOKUP('Données projet'!$B$15,Paramètres!$A$1:$I$89,3,0)*VLOOKUP('Données projet'!$B$15,Paramètres!$A$1:$I$89,5,0)</f>
        <v>263.44369999999986</v>
      </c>
      <c r="EL62" s="13">
        <f t="shared" si="45"/>
        <v>63.45587254778787</v>
      </c>
      <c r="EM62" s="20">
        <f t="shared" si="19"/>
        <v>569.35008885406353</v>
      </c>
      <c r="EN62" s="59">
        <f t="shared" si="20"/>
        <v>862.6834221873969</v>
      </c>
      <c r="EO62" s="59">
        <f ca="1">AVERAGE(OFFSET($EN$3,0,0,'Données projet'!$E$15+1,1))-AVERAGE(OFFSET($H$3,0,0,'Données projet'!$E$15+1,1))</f>
        <v>252.30925789500111</v>
      </c>
      <c r="EP62" s="59">
        <f t="shared" si="46"/>
        <v>213.96033794804805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2.6084661181393725</v>
      </c>
      <c r="EW62" s="21">
        <f>EXP(-LN(2)/25)*EW61+(1-EXP(-LN(2)/25))/(LN(2)/25)*Calculateur!ER62*Calculateur!ET62*VLOOKUP('Données projet'!$B$15,Paramètres!$A$1:$I$89,3,0)*0.475*44/12</f>
        <v>4.1298273497749776</v>
      </c>
      <c r="EX62" s="21">
        <f>EXP(-LN(2)/2)*EX61+(1-EXP(-LN(2)/2))/(LN(2)/2)*ER62*EU62*VLOOKUP('Données projet'!$B$15,Paramètres!$A$1:$I$89,3,0)*0.475*44/12</f>
        <v>6.2051117222396916E-4</v>
      </c>
      <c r="EY62" s="22">
        <f t="shared" si="21"/>
        <v>6.7389139790865737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17.3</v>
      </c>
      <c r="FE62" s="12">
        <f>IF('Données projet'!$A$218&gt;35,FE61+FD62-FM61,IF(A62&lt;'Données projet'!$A$218,$FB$205^A62,IF(A62='Données projet'!$A$218,'Données projet'!$B$218,FE61+FD62-FM61)))</f>
        <v>547.6999999999997</v>
      </c>
      <c r="FF62" s="17">
        <f>FE62*VLOOKUP('Données projet'!$B$16,Paramètres!$A$1:$I$89,3,0)*VLOOKUP('Données projet'!$B$16,Paramètres!$A$1:$I$89,5,0)</f>
        <v>263.44369999999986</v>
      </c>
      <c r="FG62" s="13">
        <f t="shared" si="47"/>
        <v>63.45587254778787</v>
      </c>
      <c r="FH62" s="20">
        <f t="shared" si="22"/>
        <v>569.35008885406353</v>
      </c>
      <c r="FI62" s="59">
        <f t="shared" si="23"/>
        <v>862.6834221873969</v>
      </c>
      <c r="FJ62" s="59">
        <f ca="1">AVERAGE(OFFSET($FI$3,0,0,'Données projet'!$E$16+1,1))-AVERAGE(OFFSET($H$3,0,0,'Données projet'!$E$16+1,1))</f>
        <v>252.30925789500111</v>
      </c>
      <c r="FK62" s="59">
        <f t="shared" si="48"/>
        <v>213.96033794804805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2.6084661181393725</v>
      </c>
      <c r="FR62" s="21">
        <f>EXP(-LN(2)/25)*FR61+(1-EXP(-LN(2)/25))/(LN(2)/25)*Calculateur!FM62*Calculateur!FO62*VLOOKUP('Données projet'!$B$16,Paramètres!$A$1:$I$89,3,0)*0.475*44/12</f>
        <v>4.1298273497749776</v>
      </c>
      <c r="FS62" s="21">
        <f>EXP(-LN(2)/2)*FS61+(1-EXP(-LN(2)/2))/(LN(2)/2)*FM62*FP62*VLOOKUP('Données projet'!$B$16,Paramètres!$A$1:$I$89,3,0)*0.475*44/12</f>
        <v>6.2051117222396916E-4</v>
      </c>
      <c r="FT62" s="22">
        <f t="shared" si="24"/>
        <v>6.7389139790865737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2.125</v>
      </c>
      <c r="FZ62" s="12">
        <f>IF('Données projet'!$A$244&gt;35,FZ61+FY62-GH61,IF(A62&lt;'Données projet'!$A$244,$FW$205^A62,IF(A62='Données projet'!$A$244,'Données projet'!$B$244,FZ61+FY62-GH61)))</f>
        <v>234.625</v>
      </c>
      <c r="GA62" s="17">
        <f>FZ62*VLOOKUP('Données projet'!$B$17,Paramètres!$A$1:$I$89,3,0)*VLOOKUP('Données projet'!$B$17,Paramètres!$A$1:$I$89,5,0)</f>
        <v>140.30575000000002</v>
      </c>
      <c r="GB62" s="13">
        <f t="shared" si="49"/>
        <v>36.367039630957962</v>
      </c>
      <c r="GC62" s="20">
        <f t="shared" si="25"/>
        <v>307.70510860725182</v>
      </c>
      <c r="GD62" s="59">
        <f t="shared" si="26"/>
        <v>601.03844194058513</v>
      </c>
      <c r="GE62" s="59">
        <f ca="1">AVERAGE(OFFSET($GD$3,0,0,'Données projet'!$E$17+1,1))-AVERAGE(OFFSET($H$3,0,0,'Données projet'!$E$17+1,1))</f>
        <v>117.54638373164624</v>
      </c>
      <c r="GF62" s="59">
        <f t="shared" si="50"/>
        <v>133.0740262536583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1.2457156119166775</v>
      </c>
      <c r="GM62" s="21">
        <f>EXP(-LN(2)/25)*GM61+(1-EXP(-LN(2)/25))/(LN(2)/25)*Calculateur!GH62*Calculateur!GJ62*VLOOKUP('Données projet'!$B$17,Paramètres!$A$1:$I$89,3,0)*0.475*44/12</f>
        <v>3.8734846701175734</v>
      </c>
      <c r="GN62" s="21">
        <f>EXP(-LN(2)/2)*GN61+(1-EXP(-LN(2)/2))/(LN(2)/2)*GH62*GK62*VLOOKUP('Données projet'!$B$17,Paramètres!$A$1:$I$89,3,0)*0.475*44/12</f>
        <v>1.7459817330646787E-4</v>
      </c>
      <c r="GO62" s="21">
        <f t="shared" si="27"/>
        <v>5.119374880207558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2.8421709430404007E-14</v>
      </c>
      <c r="GV62" s="17">
        <f>GU62*VLOOKUP('Données projet'!$B$18,Paramètres!$A$1:$I$89,3,0)*VLOOKUP('Données projet'!$B$18,Paramètres!$A$1:$I$89,5,0)</f>
        <v>1.3567387213697657E-14</v>
      </c>
      <c r="GW62" s="13">
        <f t="shared" si="51"/>
        <v>2.5717320947985821E-13</v>
      </c>
      <c r="GX62" s="20">
        <f t="shared" si="28"/>
        <v>4.7153987257460977E-13</v>
      </c>
      <c r="GY62" s="59">
        <f t="shared" si="29"/>
        <v>293.33333333333377</v>
      </c>
      <c r="GZ62" s="59">
        <f ca="1">AVERAGE(OFFSET($GY$3,0,0,'Données projet'!$E$18+1,1))-AVERAGE(OFFSET($H$3,0,0,'Données projet'!$E$18+1,1))</f>
        <v>43.147469606759159</v>
      </c>
      <c r="HA62" s="59">
        <f t="shared" si="52"/>
        <v>147.46995307968473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20.30605540728336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2.3788008536525284E-5</v>
      </c>
      <c r="HJ62" s="22">
        <f t="shared" si="30"/>
        <v>20.306079195291897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162</v>
      </c>
      <c r="L63" s="12">
        <f>VLOOKUP(A63,'Données projet'!$A$35:$I$55,9,0)</f>
        <v>5.5</v>
      </c>
      <c r="M63" s="12">
        <f t="array" ref="M63">INDEX(L:L,MIN(IF(ISNUMBER(L63:L259),ROW(L63:L259),"")))</f>
        <v>5.5</v>
      </c>
      <c r="N63" s="13">
        <f>IF('Données projet'!$A$36&gt;35,N62+M63-V62,IF(A63&lt;'Données projet'!$A$36,$K$205^A63,IF(A63='Données projet'!$A$36,'Données projet'!$B$36,N62+M63-V62)))</f>
        <v>161.99999999999997</v>
      </c>
      <c r="O63" s="13">
        <f>N63*VLOOKUP('Données projet'!$B$9,Paramètres!$A$1:$I$89,3,0)*VLOOKUP('Données projet'!$B$9,Paramètres!$A$1:$I$89,5,0)</f>
        <v>146.57759999999996</v>
      </c>
      <c r="P63" s="13">
        <f t="shared" si="33"/>
        <v>37.799791292871213</v>
      </c>
      <c r="Q63" s="20">
        <f t="shared" si="53"/>
        <v>321.12395650175063</v>
      </c>
      <c r="R63" s="59">
        <f t="shared" si="0"/>
        <v>614.45728983508388</v>
      </c>
      <c r="S63" s="59">
        <f ca="1">AVERAGE(OFFSET($R$3,0,0,'Données projet'!$E$9+1,1))-AVERAGE(OFFSET($H$3,0,0,'Données projet'!$E$9+1,1))</f>
        <v>138.8931001150624</v>
      </c>
      <c r="T63" s="59">
        <f t="shared" si="34"/>
        <v>48.964659354096625</v>
      </c>
      <c r="U63" s="15">
        <f>IF(ISNA(VLOOKUP(A63,'Données projet'!$A$35:$I$55,3,0)),0,VLOOKUP(A63,'Données projet'!$A$35:$I$55,3,0))</f>
        <v>3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219.99999999999969</v>
      </c>
      <c r="AJ63" s="13">
        <f>AI63*VLOOKUP('Données projet'!$B$10,Paramètres!$A$1:$I$89,3,0)*VLOOKUP('Données projet'!$B$10,Paramètres!$A$1:$I$89,5,0)</f>
        <v>192.19199999999975</v>
      </c>
      <c r="AK63" s="13">
        <f t="shared" si="35"/>
        <v>48.024248921932397</v>
      </c>
      <c r="AL63" s="20">
        <f t="shared" si="4"/>
        <v>418.37663353903184</v>
      </c>
      <c r="AM63" s="59">
        <f t="shared" si="5"/>
        <v>711.70996687236516</v>
      </c>
      <c r="AN63" s="59">
        <f ca="1">AVERAGE(OFFSET($AM$3,0,0,'Données projet'!$E$10+1,1))-AVERAGE(OFFSET($H$3,0,0,'Données projet'!$E$10+1,1))</f>
        <v>191.94797389630673</v>
      </c>
      <c r="AO63" s="59">
        <f t="shared" si="36"/>
        <v>273.52540822767878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6.114812904214852</v>
      </c>
      <c r="AW63" s="21">
        <f>EXP(-LN(2)/2)*AW62+(1-EXP(-LN(2)/2))/(LN(2)/2)*AQ63*AT63*VLOOKUP('Données projet'!$B$10,Paramètres!$A$1:$I$89,3,0)*0.475*44/12</f>
        <v>7.0810128539030074E-4</v>
      </c>
      <c r="AX63" s="21">
        <f t="shared" si="6"/>
        <v>7.5368485426930452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295</v>
      </c>
      <c r="BB63" s="12">
        <f>VLOOKUP(A63,'Données projet'!$A$87:$I$107,9,0)</f>
        <v>7.4</v>
      </c>
      <c r="BC63" s="12">
        <f t="array" ref="BC63">INDEX(BB:BB,MIN(IF(ISNUMBER(BB63:BB259),ROW(BB63:BB259),"")))</f>
        <v>7.4</v>
      </c>
      <c r="BD63" s="12">
        <f>IF('Données projet'!$A$88&gt;35,BD62+BC63-BL62,IF(A63&lt;'Données projet'!$A$88,$BA$205^A63,IF(A63='Données projet'!$A$88,'Données projet'!$B$88,BD62+BC63-BL62)))</f>
        <v>294.99999999999994</v>
      </c>
      <c r="BE63" s="13">
        <f>BD63*VLOOKUP('Données projet'!$B$11,Paramètres!$A$1:$I$89,3,0)*VLOOKUP('Données projet'!$B$11,Paramètres!$A$1:$I$89,5,0)</f>
        <v>184.07999999999996</v>
      </c>
      <c r="BF63" s="13">
        <f t="shared" si="37"/>
        <v>46.228723507667304</v>
      </c>
      <c r="BG63" s="20">
        <f t="shared" si="7"/>
        <v>401.12102677585381</v>
      </c>
      <c r="BH63" s="59">
        <f t="shared" si="8"/>
        <v>694.45436010918706</v>
      </c>
      <c r="BI63" s="59">
        <f ca="1">AVERAGE(OFFSET($BH$3,0,0,'Données projet'!$E$11+1,1))-AVERAGE(OFFSET($H$3,0,0,'Données projet'!$E$11+1,1))</f>
        <v>162.91481796710048</v>
      </c>
      <c r="BJ63" s="59">
        <f t="shared" si="38"/>
        <v>182.56192390367823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1.535417594566868</v>
      </c>
      <c r="BQ63" s="21">
        <f>EXP(-LN(2)/25)*BQ62+(1-EXP(-LN(2)/25))/(LN(2)/25)*Calculateur!BL63*Calculateur!BN63*VLOOKUP('Données projet'!$B$11,Paramètres!$A$1:$I$89,3,0)*0.475*44/12</f>
        <v>6.6503959525422722</v>
      </c>
      <c r="BR63" s="21">
        <f>EXP(-LN(2)/2)*BR62+(1-EXP(-LN(2)/2))/(LN(2)/2)*BL63*BO63*VLOOKUP('Données projet'!$B$11,Paramètres!$A$1:$I$89,3,0)*0.475*44/12</f>
        <v>5.4839219377616642E-4</v>
      </c>
      <c r="BS63" s="22">
        <f t="shared" si="9"/>
        <v>8.1863619393029161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275.10000000000002</v>
      </c>
      <c r="BW63" s="12">
        <f>VLOOKUP(A63,'Données projet'!$A$113:$I$133,9,0)</f>
        <v>8</v>
      </c>
      <c r="BX63" s="12">
        <f t="array" ref="BX63">INDEX(BW:BW,MIN(IF(ISNUMBER(BW63:BW259),ROW(BW63:BW259),"")))</f>
        <v>8</v>
      </c>
      <c r="BY63" s="12">
        <f>IF('Données projet'!$A$114&gt;35,BY62+BX63-CG62,IF(A63&lt;'Données projet'!$A$114,$BV$205^A63,IF(A63='Données projet'!$A$114,'Données projet'!$B$114,BY62+BX63-CG62)))</f>
        <v>275.09999999999997</v>
      </c>
      <c r="BZ63" s="13">
        <f>BY63*VLOOKUP('Données projet'!$B$12,Paramètres!$A$1:$I$89,3,0)*VLOOKUP('Données projet'!$B$12,Paramètres!$A$1:$I$89,5,0)</f>
        <v>128.74679999999998</v>
      </c>
      <c r="CA63" s="13">
        <f t="shared" si="39"/>
        <v>33.706618554384562</v>
      </c>
      <c r="CB63" s="20">
        <f t="shared" si="10"/>
        <v>282.93970398221973</v>
      </c>
      <c r="CC63" s="59">
        <f t="shared" si="11"/>
        <v>576.27303731555298</v>
      </c>
      <c r="CD63" s="59">
        <f ca="1">AVERAGE(OFFSET($CC$3,0,0,'Données projet'!$E$12+1,1))-AVERAGE(OFFSET($H$3,0,0,'Données projet'!$E$12+1,1))</f>
        <v>123.60520571614535</v>
      </c>
      <c r="CE63" s="59">
        <f t="shared" si="40"/>
        <v>119.00926870519527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46.3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0.47878981687721339</v>
      </c>
      <c r="CL63" s="21">
        <f>EXP(-LN(2)/25)*CL62+(1-EXP(-LN(2)/25))/(LN(2)/25)*Calculateur!CG63*Calculateur!CI63*VLOOKUP('Données projet'!$B$12,Paramètres!$A$1:$I$89,3,0)*0.475*44/12</f>
        <v>2.0792047722788829</v>
      </c>
      <c r="CM63" s="21">
        <f>EXP(-LN(2)/2)*CM62+(1-EXP(-LN(2)/2))/(LN(2)/2)*CG63*CJ63*VLOOKUP('Données projet'!$B$12,Paramètres!$A$1:$I$89,3,0)*0.475*44/12</f>
        <v>1.865756375452437E-4</v>
      </c>
      <c r="CN63" s="22">
        <f t="shared" si="12"/>
        <v>2.5581811647936417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</v>
      </c>
      <c r="CR63" s="12">
        <f>VLOOKUP(A63,'Données projet'!$A$139:$I$159,9,0)</f>
        <v>5.5</v>
      </c>
      <c r="CS63" s="12">
        <f t="array" ref="CS63">INDEX(CR:CR,MIN(IF(ISNUMBER(CR63:CR259),ROW(CR63:CR259),"")))</f>
        <v>5.5</v>
      </c>
      <c r="CT63" s="12">
        <f>IF('Données projet'!$A$140&gt;35,CT62+CS63-DB62,IF(A63&lt;'Données projet'!$A$140,$CQ$205^A63,IF(A63='Données projet'!$A$140,'Données projet'!$B$140,CT62+CS63-DB62)))</f>
        <v>161.99999999999997</v>
      </c>
      <c r="CU63" s="17">
        <f>CT63*VLOOKUP('Données projet'!$B$13,Paramètres!$A$1:$I$89,3,0)*VLOOKUP('Données projet'!$B$13,Paramètres!$A$1:$I$89,5,0)</f>
        <v>169.32239999999999</v>
      </c>
      <c r="CV63" s="13">
        <f t="shared" si="41"/>
        <v>42.938228468783223</v>
      </c>
      <c r="CW63" s="20">
        <f t="shared" si="13"/>
        <v>369.68726124979736</v>
      </c>
      <c r="CX63" s="59">
        <f t="shared" si="14"/>
        <v>663.02059458313067</v>
      </c>
      <c r="CY63" s="59">
        <f ca="1">AVERAGE(OFFSET($CX$3,0,0,'Données projet'!$E$13+1,1))-AVERAGE(OFFSET($H$3,0,0,'Données projet'!$E$13+1,1))</f>
        <v>177.94336949486529</v>
      </c>
      <c r="CZ63" s="59">
        <f t="shared" si="42"/>
        <v>65.559373432574603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324</v>
      </c>
      <c r="DM63" s="12">
        <f>VLOOKUP(A63,'Données projet'!$A$165:$I$185,9,0)</f>
        <v>9.6</v>
      </c>
      <c r="DN63" s="12">
        <f t="array" ref="DN63">INDEX(DM:DM,MIN(IF(ISNUMBER(DM63:DM259),ROW(DM63:DM259),"")))</f>
        <v>9.6</v>
      </c>
      <c r="DO63" s="12">
        <f>IF('Données projet'!$A$166&gt;35,DO62+DN63-DW62,IF(A63&lt;'Données projet'!$A$166,$DL$205^A63,IF(A63='Données projet'!$A$166,'Données projet'!$B$166,DO62+DN63-DW62)))</f>
        <v>324.00000000000006</v>
      </c>
      <c r="DP63" s="17">
        <f>DO63*VLOOKUP('Données projet'!$B$14,Paramètres!$A$1:$I$89,3,0)*VLOOKUP('Données projet'!$B$14,Paramètres!$A$1:$I$89,5,0)</f>
        <v>193.75200000000004</v>
      </c>
      <c r="DQ63" s="13">
        <f t="shared" si="43"/>
        <v>48.368520355376113</v>
      </c>
      <c r="DR63" s="20">
        <f t="shared" si="16"/>
        <v>421.69323961894679</v>
      </c>
      <c r="DS63" s="59">
        <f t="shared" si="17"/>
        <v>715.02657295228005</v>
      </c>
      <c r="DT63" s="59">
        <f ca="1">AVERAGE(OFFSET($DS$3,0,0,'Données projet'!$E$14+1,1))-AVERAGE(OFFSET($H$3,0,0,'Données projet'!$E$14+1,1))</f>
        <v>165.39579887388538</v>
      </c>
      <c r="DU63" s="59">
        <f t="shared" si="44"/>
        <v>155.89639262545802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49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3.1728282397576373</v>
      </c>
      <c r="EC63" s="21">
        <f>EXP(-LN(2)/2)*EC62+(1-EXP(-LN(2)/2))/(LN(2)/2)*DW63*DZ63*VLOOKUP('Données projet'!$B$14,Paramètres!$A$1:$I$89,3,0)*0.475*44/12</f>
        <v>4.2358507493215795E-4</v>
      </c>
      <c r="ED63" s="22">
        <f t="shared" si="18"/>
        <v>3.1732518248325694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565</v>
      </c>
      <c r="EH63" s="12">
        <f>VLOOKUP(A63,'Données projet'!$A$191:$I$211,9,0)</f>
        <v>17.3</v>
      </c>
      <c r="EI63" s="12">
        <f t="array" ref="EI63">INDEX(EH:EH,MIN(IF(ISNUMBER(EH63:EH259),ROW(EH63:EH259),"")))</f>
        <v>17.3</v>
      </c>
      <c r="EJ63" s="12">
        <f>IF('Données projet'!$A$192&gt;35,EJ62+EI63-ER62,IF(A63&lt;'Données projet'!$A$192,$EG$205^A63,IF(A63='Données projet'!$A$192,'Données projet'!$B$192,EJ62+EI63-ER62)))</f>
        <v>564.99999999999966</v>
      </c>
      <c r="EK63" s="17">
        <f>EJ63*VLOOKUP('Données projet'!$B$15,Paramètres!$A$1:$I$89,3,0)*VLOOKUP('Données projet'!$B$15,Paramètres!$A$1:$I$89,5,0)</f>
        <v>271.76499999999982</v>
      </c>
      <c r="EL63" s="13">
        <f t="shared" si="45"/>
        <v>65.223704668824254</v>
      </c>
      <c r="EM63" s="20">
        <f t="shared" si="19"/>
        <v>586.92199396486865</v>
      </c>
      <c r="EN63" s="59">
        <f t="shared" si="20"/>
        <v>880.25532729820202</v>
      </c>
      <c r="EO63" s="59">
        <f ca="1">AVERAGE(OFFSET($EN$3,0,0,'Données projet'!$E$15+1,1))-AVERAGE(OFFSET($H$3,0,0,'Données projet'!$E$15+1,1))</f>
        <v>252.30925789500111</v>
      </c>
      <c r="EP63" s="59">
        <f t="shared" si="46"/>
        <v>213.96033794804805</v>
      </c>
      <c r="EQ63" s="15">
        <f>IF(ISNA(VLOOKUP(A63,'Données projet'!$A$191:$I$211,3,0)),0,VLOOKUP(A63,'Données projet'!$A$191:$I$211,3,0))</f>
        <v>4</v>
      </c>
      <c r="ER63" s="15">
        <f>IF(ISNA(VLOOKUP(A63,'Données projet'!$A$191:$I$211,4,0)),0,VLOOKUP(A63,'Données projet'!$A$191:$I$211,4,0))</f>
        <v>95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2.5573156885698927</v>
      </c>
      <c r="EW63" s="21">
        <f>EXP(-LN(2)/25)*EW62+(1-EXP(-LN(2)/25))/(LN(2)/25)*Calculateur!ER63*Calculateur!ET63*VLOOKUP('Données projet'!$B$15,Paramètres!$A$1:$I$89,3,0)*0.475*44/12</f>
        <v>4.0168970037171992</v>
      </c>
      <c r="EX63" s="21">
        <f>EXP(-LN(2)/2)*EX62+(1-EXP(-LN(2)/2))/(LN(2)/2)*ER63*EU63*VLOOKUP('Données projet'!$B$15,Paramètres!$A$1:$I$89,3,0)*0.475*44/12</f>
        <v>4.3876765768158227E-4</v>
      </c>
      <c r="EY63" s="22">
        <f t="shared" si="21"/>
        <v>6.5746514599447732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565</v>
      </c>
      <c r="FC63" s="12">
        <f>VLOOKUP(A63,'Données projet'!$A$217:$I$237,9,0)</f>
        <v>17.3</v>
      </c>
      <c r="FD63" s="12">
        <f t="array" ref="FD63">INDEX(FC:FC,MIN(IF(ISNUMBER(FC63:FC259),ROW(FC63:FC259),"")))</f>
        <v>17.3</v>
      </c>
      <c r="FE63" s="12">
        <f>IF('Données projet'!$A$218&gt;35,FE62+FD63-FM62,IF(A63&lt;'Données projet'!$A$218,$FB$205^A63,IF(A63='Données projet'!$A$218,'Données projet'!$B$218,FE62+FD63-FM62)))</f>
        <v>564.99999999999966</v>
      </c>
      <c r="FF63" s="17">
        <f>FE63*VLOOKUP('Données projet'!$B$16,Paramètres!$A$1:$I$89,3,0)*VLOOKUP('Données projet'!$B$16,Paramètres!$A$1:$I$89,5,0)</f>
        <v>271.76499999999982</v>
      </c>
      <c r="FG63" s="13">
        <f t="shared" si="47"/>
        <v>65.223704668824254</v>
      </c>
      <c r="FH63" s="20">
        <f t="shared" si="22"/>
        <v>586.92199396486865</v>
      </c>
      <c r="FI63" s="59">
        <f t="shared" si="23"/>
        <v>880.25532729820202</v>
      </c>
      <c r="FJ63" s="59">
        <f ca="1">AVERAGE(OFFSET($FI$3,0,0,'Données projet'!$E$16+1,1))-AVERAGE(OFFSET($H$3,0,0,'Données projet'!$E$16+1,1))</f>
        <v>252.30925789500111</v>
      </c>
      <c r="FK63" s="59">
        <f t="shared" si="48"/>
        <v>213.96033794804805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95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2.5573156885698927</v>
      </c>
      <c r="FR63" s="21">
        <f>EXP(-LN(2)/25)*FR62+(1-EXP(-LN(2)/25))/(LN(2)/25)*Calculateur!FM63*Calculateur!FO63*VLOOKUP('Données projet'!$B$16,Paramètres!$A$1:$I$89,3,0)*0.475*44/12</f>
        <v>4.0168970037171992</v>
      </c>
      <c r="FS63" s="21">
        <f>EXP(-LN(2)/2)*FS62+(1-EXP(-LN(2)/2))/(LN(2)/2)*FM63*FP63*VLOOKUP('Données projet'!$B$16,Paramètres!$A$1:$I$89,3,0)*0.475*44/12</f>
        <v>4.3876765768158227E-4</v>
      </c>
      <c r="FT63" s="22">
        <f t="shared" si="24"/>
        <v>6.5746514599447732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2.125</v>
      </c>
      <c r="FZ63" s="12">
        <f>IF('Données projet'!$A$244&gt;35,FZ62+FY63-GH62,IF(A63&lt;'Données projet'!$A$244,$FW$205^A63,IF(A63='Données projet'!$A$244,'Données projet'!$B$244,FZ62+FY63-GH62)))</f>
        <v>236.75</v>
      </c>
      <c r="GA63" s="17">
        <f>FZ63*VLOOKUP('Données projet'!$B$17,Paramètres!$A$1:$I$89,3,0)*VLOOKUP('Données projet'!$B$17,Paramètres!$A$1:$I$89,5,0)</f>
        <v>141.57650000000001</v>
      </c>
      <c r="GB63" s="13">
        <f t="shared" si="49"/>
        <v>36.657923802254089</v>
      </c>
      <c r="GC63" s="20">
        <f t="shared" si="25"/>
        <v>310.4249547889259</v>
      </c>
      <c r="GD63" s="59">
        <f t="shared" si="26"/>
        <v>603.75828812225927</v>
      </c>
      <c r="GE63" s="59">
        <f ca="1">AVERAGE(OFFSET($GD$3,0,0,'Données projet'!$E$17+1,1))-AVERAGE(OFFSET($H$3,0,0,'Données projet'!$E$17+1,1))</f>
        <v>117.54638373164624</v>
      </c>
      <c r="GF63" s="59">
        <f t="shared" si="50"/>
        <v>133.0740262536583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1.2212878885784895</v>
      </c>
      <c r="GM63" s="21">
        <f>EXP(-LN(2)/25)*GM62+(1-EXP(-LN(2)/25))/(LN(2)/25)*Calculateur!GH63*Calculateur!GJ63*VLOOKUP('Données projet'!$B$17,Paramètres!$A$1:$I$89,3,0)*0.475*44/12</f>
        <v>3.7675640281155025</v>
      </c>
      <c r="GN63" s="21">
        <f>EXP(-LN(2)/2)*GN62+(1-EXP(-LN(2)/2))/(LN(2)/2)*GH63*GK63*VLOOKUP('Données projet'!$B$17,Paramètres!$A$1:$I$89,3,0)*0.475*44/12</f>
        <v>1.2345955232778748E-4</v>
      </c>
      <c r="GO63" s="21">
        <f t="shared" si="27"/>
        <v>4.9889753762463203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2.8421709430404007E-14</v>
      </c>
      <c r="GV63" s="17">
        <f>GU63*VLOOKUP('Données projet'!$B$18,Paramètres!$A$1:$I$89,3,0)*VLOOKUP('Données projet'!$B$18,Paramètres!$A$1:$I$89,5,0)</f>
        <v>1.3567387213697657E-14</v>
      </c>
      <c r="GW63" s="13">
        <f t="shared" si="51"/>
        <v>2.5717320947985821E-13</v>
      </c>
      <c r="GX63" s="20">
        <f t="shared" si="28"/>
        <v>4.7153987257460977E-13</v>
      </c>
      <c r="GY63" s="59">
        <f t="shared" si="29"/>
        <v>293.33333333333377</v>
      </c>
      <c r="GZ63" s="59">
        <f ca="1">AVERAGE(OFFSET($GY$3,0,0,'Données projet'!$E$18+1,1))-AVERAGE(OFFSET($H$3,0,0,'Données projet'!$E$18+1,1))</f>
        <v>43.147469606759159</v>
      </c>
      <c r="HA63" s="59">
        <f t="shared" si="52"/>
        <v>147.46995307968473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19.907866046217368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1.6820662147100508E-5</v>
      </c>
      <c r="HJ63" s="22">
        <f t="shared" si="30"/>
        <v>19.907882866879515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5.2</v>
      </c>
      <c r="N64" s="13">
        <f>IF('Données projet'!$A$36&gt;35,N63+M64-V63,IF(A64&lt;'Données projet'!$A$36,$K$205^A64,IF(A64='Données projet'!$A$36,'Données projet'!$B$36,N63+M64-V63)))</f>
        <v>139.19999999999996</v>
      </c>
      <c r="O64" s="13">
        <f>N64*VLOOKUP('Données projet'!$B$9,Paramètres!$A$1:$I$89,3,0)*VLOOKUP('Données projet'!$B$9,Paramètres!$A$1:$I$89,5,0)</f>
        <v>125.94815999999997</v>
      </c>
      <c r="P64" s="13">
        <f t="shared" si="33"/>
        <v>33.058379686398482</v>
      </c>
      <c r="Q64" s="20">
        <f t="shared" si="53"/>
        <v>276.93638995381065</v>
      </c>
      <c r="R64" s="59">
        <f t="shared" si="0"/>
        <v>570.26972328714396</v>
      </c>
      <c r="S64" s="59">
        <f ca="1">AVERAGE(OFFSET($R$3,0,0,'Données projet'!$E$9+1,1))-AVERAGE(OFFSET($H$3,0,0,'Données projet'!$E$9+1,1))</f>
        <v>138.8931001150624</v>
      </c>
      <c r="T64" s="59">
        <f t="shared" si="34"/>
        <v>48.964659354096625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4.3</v>
      </c>
      <c r="AI64" s="13">
        <f>IF('Données projet'!$A$62&gt;35,AI63+AH64-AQ63,IF(A64&lt;'Données projet'!$A$62,$AF$205^A64,IF(A64='Données projet'!$A$62,'Données projet'!$B$62,AI63+AH64-AQ63)))</f>
        <v>184.2999999999997</v>
      </c>
      <c r="AJ64" s="13">
        <f>AI64*VLOOKUP('Données projet'!$B$10,Paramètres!$A$1:$I$89,3,0)*VLOOKUP('Données projet'!$B$10,Paramètres!$A$1:$I$89,5,0)</f>
        <v>161.00447999999975</v>
      </c>
      <c r="AK64" s="13">
        <f t="shared" si="35"/>
        <v>41.068996085697087</v>
      </c>
      <c r="AL64" s="20">
        <f t="shared" si="4"/>
        <v>351.9446375159219</v>
      </c>
      <c r="AM64" s="59">
        <f t="shared" si="5"/>
        <v>645.27797084925521</v>
      </c>
      <c r="AN64" s="59">
        <f ca="1">AVERAGE(OFFSET($AM$3,0,0,'Données projet'!$E$10+1,1))-AVERAGE(OFFSET($H$3,0,0,'Données projet'!$E$10+1,1))</f>
        <v>191.94797389630673</v>
      </c>
      <c r="AO64" s="59">
        <f t="shared" si="36"/>
        <v>273.52540822767878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5.9476030237850619</v>
      </c>
      <c r="AW64" s="21">
        <f>EXP(-LN(2)/2)*AW63+(1-EXP(-LN(2)/2))/(LN(2)/2)*AQ64*AT64*VLOOKUP('Données projet'!$B$10,Paramètres!$A$1:$I$89,3,0)*0.475*44/12</f>
        <v>5.0070322066639241E-4</v>
      </c>
      <c r="AX64" s="21">
        <f t="shared" si="6"/>
        <v>7.3415598981183763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5.6</v>
      </c>
      <c r="BD64" s="12">
        <f>IF('Données projet'!$A$88&gt;35,BD63+BC64-BL63,IF(A64&lt;'Données projet'!$A$88,$BA$205^A64,IF(A64='Données projet'!$A$88,'Données projet'!$B$88,BD63+BC64-BL63)))</f>
        <v>263.59999999999997</v>
      </c>
      <c r="BE64" s="13">
        <f>BD64*VLOOKUP('Données projet'!$B$11,Paramètres!$A$1:$I$89,3,0)*VLOOKUP('Données projet'!$B$11,Paramètres!$A$1:$I$89,5,0)</f>
        <v>164.48639999999997</v>
      </c>
      <c r="BF64" s="13">
        <f t="shared" si="37"/>
        <v>41.852801049347022</v>
      </c>
      <c r="BG64" s="20">
        <f t="shared" si="7"/>
        <v>359.37410849427937</v>
      </c>
      <c r="BH64" s="59">
        <f t="shared" si="8"/>
        <v>652.70744182761268</v>
      </c>
      <c r="BI64" s="59">
        <f ca="1">AVERAGE(OFFSET($BH$3,0,0,'Données projet'!$E$11+1,1))-AVERAGE(OFFSET($H$3,0,0,'Données projet'!$E$11+1,1))</f>
        <v>162.91481796710048</v>
      </c>
      <c r="BJ64" s="59">
        <f t="shared" si="38"/>
        <v>182.56192390367823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1.5053089920496714</v>
      </c>
      <c r="BQ64" s="21">
        <f>EXP(-LN(2)/25)*BQ63+(1-EXP(-LN(2)/25))/(LN(2)/25)*Calculateur!BL64*Calculateur!BN64*VLOOKUP('Données projet'!$B$11,Paramètres!$A$1:$I$89,3,0)*0.475*44/12</f>
        <v>6.4685405254908801</v>
      </c>
      <c r="BR64" s="21">
        <f>EXP(-LN(2)/2)*BR63+(1-EXP(-LN(2)/2))/(LN(2)/2)*BL64*BO64*VLOOKUP('Données projet'!$B$11,Paramètres!$A$1:$I$89,3,0)*0.475*44/12</f>
        <v>3.8777183896889449E-4</v>
      </c>
      <c r="BS64" s="22">
        <f t="shared" si="9"/>
        <v>7.9742372893795199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7.5</v>
      </c>
      <c r="BY64" s="12">
        <f>IF('Données projet'!$A$114&gt;35,BY63+BX64-CG63,IF(A64&lt;'Données projet'!$A$114,$BV$205^A64,IF(A64='Données projet'!$A$114,'Données projet'!$B$114,BY63+BX64-CG63)))</f>
        <v>236.29999999999995</v>
      </c>
      <c r="BZ64" s="13">
        <f>BY64*VLOOKUP('Données projet'!$B$12,Paramètres!$A$1:$I$89,3,0)*VLOOKUP('Données projet'!$B$12,Paramètres!$A$1:$I$89,5,0)</f>
        <v>110.58839999999998</v>
      </c>
      <c r="CA64" s="13">
        <f t="shared" si="39"/>
        <v>29.469573129181672</v>
      </c>
      <c r="CB64" s="20">
        <f t="shared" si="10"/>
        <v>243.93430319999138</v>
      </c>
      <c r="CC64" s="59">
        <f t="shared" si="11"/>
        <v>537.26763653332466</v>
      </c>
      <c r="CD64" s="59">
        <f ca="1">AVERAGE(OFFSET($CC$3,0,0,'Données projet'!$E$12+1,1))-AVERAGE(OFFSET($H$3,0,0,'Données projet'!$E$12+1,1))</f>
        <v>123.60520571614535</v>
      </c>
      <c r="CE64" s="59">
        <f t="shared" si="40"/>
        <v>119.00926870519527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0.46940104060120369</v>
      </c>
      <c r="CL64" s="21">
        <f>EXP(-LN(2)/25)*CL63+(1-EXP(-LN(2)/25))/(LN(2)/25)*Calculateur!CG64*Calculateur!CI64*VLOOKUP('Données projet'!$B$12,Paramètres!$A$1:$I$89,3,0)*0.475*44/12</f>
        <v>2.0223488084402899</v>
      </c>
      <c r="CM64" s="21">
        <f>EXP(-LN(2)/2)*CM63+(1-EXP(-LN(2)/2))/(LN(2)/2)*CG64*CJ64*VLOOKUP('Données projet'!$B$12,Paramètres!$A$1:$I$89,3,0)*0.475*44/12</f>
        <v>1.3192889851244523E-4</v>
      </c>
      <c r="CN64" s="22">
        <f t="shared" si="12"/>
        <v>2.491881777940006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139.19999999999996</v>
      </c>
      <c r="CU64" s="17">
        <f>CT64*VLOOKUP('Données projet'!$B$13,Paramètres!$A$1:$I$89,3,0)*VLOOKUP('Données projet'!$B$13,Paramètres!$A$1:$I$89,5,0)</f>
        <v>145.49183999999997</v>
      </c>
      <c r="CV64" s="13">
        <f t="shared" si="41"/>
        <v>37.552277703979321</v>
      </c>
      <c r="CW64" s="20">
        <f t="shared" si="13"/>
        <v>318.80183833443056</v>
      </c>
      <c r="CX64" s="59">
        <f t="shared" si="14"/>
        <v>612.13517166776387</v>
      </c>
      <c r="CY64" s="59">
        <f ca="1">AVERAGE(OFFSET($CX$3,0,0,'Données projet'!$E$13+1,1))-AVERAGE(OFFSET($H$3,0,0,'Données projet'!$E$13+1,1))</f>
        <v>177.94336949486529</v>
      </c>
      <c r="CZ64" s="59">
        <f t="shared" si="42"/>
        <v>65.559373432574603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</v>
      </c>
      <c r="DO64" s="12">
        <f>IF('Données projet'!$A$166&gt;35,DO63+DN64-DW63,IF(A64&lt;'Données projet'!$A$166,$DL$205^A64,IF(A64='Données projet'!$A$166,'Données projet'!$B$166,DO63+DN64-DW63)))</f>
        <v>283.00000000000006</v>
      </c>
      <c r="DP64" s="17">
        <f>DO64*VLOOKUP('Données projet'!$B$14,Paramètres!$A$1:$I$89,3,0)*VLOOKUP('Données projet'!$B$14,Paramètres!$A$1:$I$89,5,0)</f>
        <v>169.23400000000007</v>
      </c>
      <c r="DQ64" s="13">
        <f t="shared" si="43"/>
        <v>42.918420001269354</v>
      </c>
      <c r="DR64" s="20">
        <f t="shared" si="16"/>
        <v>369.49879816887756</v>
      </c>
      <c r="DS64" s="59">
        <f t="shared" si="17"/>
        <v>662.83213150221081</v>
      </c>
      <c r="DT64" s="59">
        <f ca="1">AVERAGE(OFFSET($DS$3,0,0,'Données projet'!$E$14+1,1))-AVERAGE(OFFSET($H$3,0,0,'Données projet'!$E$14+1,1))</f>
        <v>165.39579887388538</v>
      </c>
      <c r="DU64" s="59">
        <f t="shared" si="44"/>
        <v>155.89639262545802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3.0860670846896792</v>
      </c>
      <c r="EC64" s="21">
        <f>EXP(-LN(2)/2)*EC63+(1-EXP(-LN(2)/2))/(LN(2)/2)*DW64*DZ64*VLOOKUP('Données projet'!$B$14,Paramètres!$A$1:$I$89,3,0)*0.475*44/12</f>
        <v>2.9951987889394074E-4</v>
      </c>
      <c r="ED64" s="22">
        <f t="shared" si="18"/>
        <v>3.0863666045685729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15.3</v>
      </c>
      <c r="EJ64" s="12">
        <f>IF('Données projet'!$A$192&gt;35,EJ63+EI64-ER63,IF(A64&lt;'Données projet'!$A$192,$EG$205^A64,IF(A64='Données projet'!$A$192,'Données projet'!$B$192,EJ63+EI64-ER63)))</f>
        <v>485.29999999999961</v>
      </c>
      <c r="EK64" s="17">
        <f>EJ64*VLOOKUP('Données projet'!$B$15,Paramètres!$A$1:$I$89,3,0)*VLOOKUP('Données projet'!$B$15,Paramètres!$A$1:$I$89,5,0)</f>
        <v>233.42929999999984</v>
      </c>
      <c r="EL64" s="13">
        <f t="shared" si="45"/>
        <v>57.023536469378328</v>
      </c>
      <c r="EM64" s="20">
        <f t="shared" si="19"/>
        <v>505.87202351750028</v>
      </c>
      <c r="EN64" s="59">
        <f t="shared" si="20"/>
        <v>799.2053568508336</v>
      </c>
      <c r="EO64" s="59">
        <f ca="1">AVERAGE(OFFSET($EN$3,0,0,'Données projet'!$E$15+1,1))-AVERAGE(OFFSET($H$3,0,0,'Données projet'!$E$15+1,1))</f>
        <v>252.30925789500111</v>
      </c>
      <c r="EP64" s="59">
        <f t="shared" si="46"/>
        <v>213.96033794804805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2.5071682877255888</v>
      </c>
      <c r="EW64" s="21">
        <f>EXP(-LN(2)/25)*EW63+(1-EXP(-LN(2)/25))/(LN(2)/25)*Calculateur!ER64*Calculateur!ET64*VLOOKUP('Données projet'!$B$15,Paramètres!$A$1:$I$89,3,0)*0.475*44/12</f>
        <v>3.9070547439111198</v>
      </c>
      <c r="EX64" s="21">
        <f>EXP(-LN(2)/2)*EX63+(1-EXP(-LN(2)/2))/(LN(2)/2)*ER64*EU64*VLOOKUP('Données projet'!$B$15,Paramètres!$A$1:$I$89,3,0)*0.475*44/12</f>
        <v>3.1025558611198458E-4</v>
      </c>
      <c r="EY64" s="22">
        <f t="shared" si="21"/>
        <v>6.4145332872228211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15.3</v>
      </c>
      <c r="FE64" s="12">
        <f>IF('Données projet'!$A$218&gt;35,FE63+FD64-FM63,IF(A64&lt;'Données projet'!$A$218,$FB$205^A64,IF(A64='Données projet'!$A$218,'Données projet'!$B$218,FE63+FD64-FM63)))</f>
        <v>485.29999999999961</v>
      </c>
      <c r="FF64" s="17">
        <f>FE64*VLOOKUP('Données projet'!$B$16,Paramètres!$A$1:$I$89,3,0)*VLOOKUP('Données projet'!$B$16,Paramètres!$A$1:$I$89,5,0)</f>
        <v>233.42929999999984</v>
      </c>
      <c r="FG64" s="13">
        <f t="shared" si="47"/>
        <v>57.023536469378328</v>
      </c>
      <c r="FH64" s="20">
        <f t="shared" si="22"/>
        <v>505.87202351750028</v>
      </c>
      <c r="FI64" s="59">
        <f t="shared" si="23"/>
        <v>799.2053568508336</v>
      </c>
      <c r="FJ64" s="59">
        <f ca="1">AVERAGE(OFFSET($FI$3,0,0,'Données projet'!$E$16+1,1))-AVERAGE(OFFSET($H$3,0,0,'Données projet'!$E$16+1,1))</f>
        <v>252.30925789500111</v>
      </c>
      <c r="FK64" s="59">
        <f t="shared" si="48"/>
        <v>213.96033794804805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2.5071682877255888</v>
      </c>
      <c r="FR64" s="21">
        <f>EXP(-LN(2)/25)*FR63+(1-EXP(-LN(2)/25))/(LN(2)/25)*Calculateur!FM64*Calculateur!FO64*VLOOKUP('Données projet'!$B$16,Paramètres!$A$1:$I$89,3,0)*0.475*44/12</f>
        <v>3.9070547439111198</v>
      </c>
      <c r="FS64" s="21">
        <f>EXP(-LN(2)/2)*FS63+(1-EXP(-LN(2)/2))/(LN(2)/2)*FM64*FP64*VLOOKUP('Données projet'!$B$16,Paramètres!$A$1:$I$89,3,0)*0.475*44/12</f>
        <v>3.1025558611198458E-4</v>
      </c>
      <c r="FT64" s="22">
        <f t="shared" si="24"/>
        <v>6.4145332872228211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2.125</v>
      </c>
      <c r="FZ64" s="12">
        <f>IF('Données projet'!$A$244&gt;35,FZ63+FY64-GH63,IF(A64&lt;'Données projet'!$A$244,$FW$205^A64,IF(A64='Données projet'!$A$244,'Données projet'!$B$244,FZ63+FY64-GH63)))</f>
        <v>238.875</v>
      </c>
      <c r="GA64" s="17">
        <f>FZ64*VLOOKUP('Données projet'!$B$17,Paramètres!$A$1:$I$89,3,0)*VLOOKUP('Données projet'!$B$17,Paramètres!$A$1:$I$89,5,0)</f>
        <v>142.84725</v>
      </c>
      <c r="GB64" s="13">
        <f t="shared" si="49"/>
        <v>36.948504220019856</v>
      </c>
      <c r="GC64" s="20">
        <f t="shared" si="25"/>
        <v>313.1442719332012</v>
      </c>
      <c r="GD64" s="59">
        <f t="shared" si="26"/>
        <v>606.47760526653451</v>
      </c>
      <c r="GE64" s="59">
        <f ca="1">AVERAGE(OFFSET($GD$3,0,0,'Données projet'!$E$17+1,1))-AVERAGE(OFFSET($H$3,0,0,'Données projet'!$E$17+1,1))</f>
        <v>117.54638373164624</v>
      </c>
      <c r="GF64" s="59">
        <f t="shared" si="50"/>
        <v>133.0740262536583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1.1973391779955234</v>
      </c>
      <c r="GM64" s="21">
        <f>EXP(-LN(2)/25)*GM63+(1-EXP(-LN(2)/25))/(LN(2)/25)*Calculateur!GH64*Calculateur!GJ64*VLOOKUP('Données projet'!$B$17,Paramètres!$A$1:$I$89,3,0)*0.475*44/12</f>
        <v>3.6645397916391027</v>
      </c>
      <c r="GN64" s="21">
        <f>EXP(-LN(2)/2)*GN63+(1-EXP(-LN(2)/2))/(LN(2)/2)*GH64*GK64*VLOOKUP('Données projet'!$B$17,Paramètres!$A$1:$I$89,3,0)*0.475*44/12</f>
        <v>8.7299086653233937E-5</v>
      </c>
      <c r="GO64" s="21">
        <f t="shared" si="27"/>
        <v>4.8619662687212788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2.8421709430404007E-14</v>
      </c>
      <c r="GV64" s="17">
        <f>GU64*VLOOKUP('Données projet'!$B$18,Paramètres!$A$1:$I$89,3,0)*VLOOKUP('Données projet'!$B$18,Paramètres!$A$1:$I$89,5,0)</f>
        <v>1.3567387213697657E-14</v>
      </c>
      <c r="GW64" s="13">
        <f t="shared" si="51"/>
        <v>2.5717320947985821E-13</v>
      </c>
      <c r="GX64" s="20">
        <f t="shared" si="28"/>
        <v>4.7153987257460977E-13</v>
      </c>
      <c r="GY64" s="59">
        <f t="shared" si="29"/>
        <v>293.33333333333377</v>
      </c>
      <c r="GZ64" s="59">
        <f ca="1">AVERAGE(OFFSET($GY$3,0,0,'Données projet'!$E$18+1,1))-AVERAGE(OFFSET($H$3,0,0,'Données projet'!$E$18+1,1))</f>
        <v>43.147469606759159</v>
      </c>
      <c r="HA64" s="59">
        <f t="shared" si="52"/>
        <v>147.46995307968473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19.517484935650351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1.1894004268262642E-5</v>
      </c>
      <c r="HJ64" s="22">
        <f t="shared" si="30"/>
        <v>19.517496829654618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5.2</v>
      </c>
      <c r="N65" s="13">
        <f>IF('Données projet'!$A$36&gt;35,N64+M65-V64,IF(A65&lt;'Données projet'!$A$36,$K$205^A65,IF(A65='Données projet'!$A$36,'Données projet'!$B$36,N64+M65-V64)))</f>
        <v>144.39999999999995</v>
      </c>
      <c r="O65" s="13">
        <f>N65*VLOOKUP('Données projet'!$B$9,Paramètres!$A$1:$I$89,3,0)*VLOOKUP('Données projet'!$B$9,Paramètres!$A$1:$I$89,5,0)</f>
        <v>130.65311999999994</v>
      </c>
      <c r="P65" s="13">
        <f t="shared" si="33"/>
        <v>34.147232142951147</v>
      </c>
      <c r="Q65" s="20">
        <f t="shared" si="53"/>
        <v>287.02727998230642</v>
      </c>
      <c r="R65" s="59">
        <f t="shared" si="0"/>
        <v>580.36061331563974</v>
      </c>
      <c r="S65" s="59">
        <f ca="1">AVERAGE(OFFSET($R$3,0,0,'Données projet'!$E$9+1,1))-AVERAGE(OFFSET($H$3,0,0,'Données projet'!$E$9+1,1))</f>
        <v>138.8931001150624</v>
      </c>
      <c r="T65" s="59">
        <f t="shared" si="34"/>
        <v>48.964659354096625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4.3</v>
      </c>
      <c r="AI65" s="13">
        <f>IF('Données projet'!$A$62&gt;35,AI64+AH65-AQ64,IF(A65&lt;'Données projet'!$A$62,$AF$205^A65,IF(A65='Données projet'!$A$62,'Données projet'!$B$62,AI64+AH65-AQ64)))</f>
        <v>188.59999999999971</v>
      </c>
      <c r="AJ65" s="13">
        <f>AI65*VLOOKUP('Données projet'!$B$10,Paramètres!$A$1:$I$89,3,0)*VLOOKUP('Données projet'!$B$10,Paramètres!$A$1:$I$89,5,0)</f>
        <v>164.76095999999976</v>
      </c>
      <c r="AK65" s="13">
        <f t="shared" si="35"/>
        <v>41.914523809719867</v>
      </c>
      <c r="AL65" s="20">
        <f t="shared" si="4"/>
        <v>359.95980096859495</v>
      </c>
      <c r="AM65" s="59">
        <f t="shared" si="5"/>
        <v>653.29313430192826</v>
      </c>
      <c r="AN65" s="59">
        <f ca="1">AVERAGE(OFFSET($AM$3,0,0,'Données projet'!$E$10+1,1))-AVERAGE(OFFSET($H$3,0,0,'Données projet'!$E$10+1,1))</f>
        <v>191.94797389630673</v>
      </c>
      <c r="AO65" s="59">
        <f t="shared" si="36"/>
        <v>273.52540822767878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5.7849655063288097</v>
      </c>
      <c r="AW65" s="21">
        <f>EXP(-LN(2)/2)*AW64+(1-EXP(-LN(2)/2))/(LN(2)/2)*AQ65*AT65*VLOOKUP('Données projet'!$B$10,Paramètres!$A$1:$I$89,3,0)*0.475*44/12</f>
        <v>3.5405064269515037E-4</v>
      </c>
      <c r="AX65" s="21">
        <f t="shared" si="6"/>
        <v>7.1514509024929751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5.6</v>
      </c>
      <c r="BD65" s="12">
        <f>IF('Données projet'!$A$88&gt;35,BD64+BC65-BL64,IF(A65&lt;'Données projet'!$A$88,$BA$205^A65,IF(A65='Données projet'!$A$88,'Données projet'!$B$88,BD64+BC65-BL64)))</f>
        <v>269.2</v>
      </c>
      <c r="BE65" s="13">
        <f>BD65*VLOOKUP('Données projet'!$B$11,Paramètres!$A$1:$I$89,3,0)*VLOOKUP('Données projet'!$B$11,Paramètres!$A$1:$I$89,5,0)</f>
        <v>167.98079999999999</v>
      </c>
      <c r="BF65" s="13">
        <f t="shared" si="37"/>
        <v>42.637475945119895</v>
      </c>
      <c r="BG65" s="20">
        <f t="shared" si="7"/>
        <v>366.82683060441713</v>
      </c>
      <c r="BH65" s="59">
        <f t="shared" si="8"/>
        <v>660.16016393775044</v>
      </c>
      <c r="BI65" s="59">
        <f ca="1">AVERAGE(OFFSET($BH$3,0,0,'Données projet'!$E$11+1,1))-AVERAGE(OFFSET($H$3,0,0,'Données projet'!$E$11+1,1))</f>
        <v>162.91481796710048</v>
      </c>
      <c r="BJ65" s="59">
        <f t="shared" si="38"/>
        <v>182.56192390367823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1.4757908008634029</v>
      </c>
      <c r="BQ65" s="21">
        <f>EXP(-LN(2)/25)*BQ64+(1-EXP(-LN(2)/25))/(LN(2)/25)*Calculateur!BL65*Calculateur!BN65*VLOOKUP('Données projet'!$B$11,Paramètres!$A$1:$I$89,3,0)*0.475*44/12</f>
        <v>6.2916579446555696</v>
      </c>
      <c r="BR65" s="21">
        <f>EXP(-LN(2)/2)*BR64+(1-EXP(-LN(2)/2))/(LN(2)/2)*BL65*BO65*VLOOKUP('Données projet'!$B$11,Paramètres!$A$1:$I$89,3,0)*0.475*44/12</f>
        <v>2.7419609688808321E-4</v>
      </c>
      <c r="BS65" s="22">
        <f t="shared" si="9"/>
        <v>7.7677229416158609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7.5</v>
      </c>
      <c r="BY65" s="12">
        <f>IF('Données projet'!$A$114&gt;35,BY64+BX65-CG64,IF(A65&lt;'Données projet'!$A$114,$BV$205^A65,IF(A65='Données projet'!$A$114,'Données projet'!$B$114,BY64+BX65-CG64)))</f>
        <v>243.79999999999995</v>
      </c>
      <c r="BZ65" s="13">
        <f>BY65*VLOOKUP('Données projet'!$B$12,Paramètres!$A$1:$I$89,3,0)*VLOOKUP('Données projet'!$B$12,Paramètres!$A$1:$I$89,5,0)</f>
        <v>114.09839999999998</v>
      </c>
      <c r="CA65" s="13">
        <f t="shared" si="39"/>
        <v>30.294534186150837</v>
      </c>
      <c r="CB65" s="20">
        <f t="shared" si="10"/>
        <v>251.48436037421268</v>
      </c>
      <c r="CC65" s="59">
        <f t="shared" si="11"/>
        <v>544.81769370754603</v>
      </c>
      <c r="CD65" s="59">
        <f ca="1">AVERAGE(OFFSET($CC$3,0,0,'Données projet'!$E$12+1,1))-AVERAGE(OFFSET($H$3,0,0,'Données projet'!$E$12+1,1))</f>
        <v>123.60520571614535</v>
      </c>
      <c r="CE65" s="59">
        <f t="shared" si="40"/>
        <v>119.00926870519527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0.46019637250137846</v>
      </c>
      <c r="CL65" s="21">
        <f>EXP(-LN(2)/25)*CL64+(1-EXP(-LN(2)/25))/(LN(2)/25)*Calculateur!CG65*Calculateur!CI65*VLOOKUP('Données projet'!$B$12,Paramètres!$A$1:$I$89,3,0)*0.475*44/12</f>
        <v>1.9670475739227884</v>
      </c>
      <c r="CM65" s="21">
        <f>EXP(-LN(2)/2)*CM64+(1-EXP(-LN(2)/2))/(LN(2)/2)*CG65*CJ65*VLOOKUP('Données projet'!$B$12,Paramètres!$A$1:$I$89,3,0)*0.475*44/12</f>
        <v>9.3287818772621849E-5</v>
      </c>
      <c r="CN65" s="22">
        <f t="shared" si="12"/>
        <v>2.4273372342429393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144.39999999999995</v>
      </c>
      <c r="CU65" s="17">
        <f>CT65*VLOOKUP('Données projet'!$B$13,Paramètres!$A$1:$I$89,3,0)*VLOOKUP('Données projet'!$B$13,Paramètres!$A$1:$I$89,5,0)</f>
        <v>150.92687999999995</v>
      </c>
      <c r="CV65" s="13">
        <f t="shared" si="41"/>
        <v>38.78914684926135</v>
      </c>
      <c r="CW65" s="20">
        <f t="shared" si="13"/>
        <v>330.42208009579673</v>
      </c>
      <c r="CX65" s="59">
        <f t="shared" si="14"/>
        <v>623.75541342913004</v>
      </c>
      <c r="CY65" s="59">
        <f ca="1">AVERAGE(OFFSET($CX$3,0,0,'Données projet'!$E$13+1,1))-AVERAGE(OFFSET($H$3,0,0,'Données projet'!$E$13+1,1))</f>
        <v>177.94336949486529</v>
      </c>
      <c r="CZ65" s="59">
        <f t="shared" si="42"/>
        <v>65.559373432574603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</v>
      </c>
      <c r="DO65" s="12">
        <f>IF('Données projet'!$A$166&gt;35,DO64+DN65-DW64,IF(A65&lt;'Données projet'!$A$166,$DL$205^A65,IF(A65='Données projet'!$A$166,'Données projet'!$B$166,DO64+DN65-DW64)))</f>
        <v>291.00000000000006</v>
      </c>
      <c r="DP65" s="17">
        <f>DO65*VLOOKUP('Données projet'!$B$14,Paramètres!$A$1:$I$89,3,0)*VLOOKUP('Données projet'!$B$14,Paramètres!$A$1:$I$89,5,0)</f>
        <v>174.01800000000006</v>
      </c>
      <c r="DQ65" s="13">
        <f t="shared" si="43"/>
        <v>43.988694800618951</v>
      </c>
      <c r="DR65" s="20">
        <f t="shared" si="16"/>
        <v>379.69499344441147</v>
      </c>
      <c r="DS65" s="59">
        <f t="shared" si="17"/>
        <v>673.02832677774472</v>
      </c>
      <c r="DT65" s="59">
        <f ca="1">AVERAGE(OFFSET($DS$3,0,0,'Données projet'!$E$14+1,1))-AVERAGE(OFFSET($H$3,0,0,'Données projet'!$E$14+1,1))</f>
        <v>165.39579887388538</v>
      </c>
      <c r="DU65" s="59">
        <f t="shared" si="44"/>
        <v>155.89639262545802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3.0016784179696252</v>
      </c>
      <c r="EC65" s="21">
        <f>EXP(-LN(2)/2)*EC64+(1-EXP(-LN(2)/2))/(LN(2)/2)*DW65*DZ65*VLOOKUP('Données projet'!$B$14,Paramètres!$A$1:$I$89,3,0)*0.475*44/12</f>
        <v>2.1179253746607897E-4</v>
      </c>
      <c r="ED65" s="22">
        <f t="shared" si="18"/>
        <v>3.0018902105070913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15.3</v>
      </c>
      <c r="EJ65" s="12">
        <f>IF('Données projet'!$A$192&gt;35,EJ64+EI65-ER64,IF(A65&lt;'Données projet'!$A$192,$EG$205^A65,IF(A65='Données projet'!$A$192,'Données projet'!$B$192,EJ64+EI65-ER64)))</f>
        <v>500.59999999999962</v>
      </c>
      <c r="EK65" s="17">
        <f>EJ65*VLOOKUP('Données projet'!$B$15,Paramètres!$A$1:$I$89,3,0)*VLOOKUP('Données projet'!$B$15,Paramètres!$A$1:$I$89,5,0)</f>
        <v>240.78859999999983</v>
      </c>
      <c r="EL65" s="13">
        <f t="shared" si="45"/>
        <v>58.60916920625705</v>
      </c>
      <c r="EM65" s="20">
        <f t="shared" si="19"/>
        <v>521.45111470089739</v>
      </c>
      <c r="EN65" s="59">
        <f t="shared" si="20"/>
        <v>814.78444803423076</v>
      </c>
      <c r="EO65" s="59">
        <f ca="1">AVERAGE(OFFSET($EN$3,0,0,'Données projet'!$E$15+1,1))-AVERAGE(OFFSET($H$3,0,0,'Données projet'!$E$15+1,1))</f>
        <v>252.30925789500111</v>
      </c>
      <c r="EP65" s="59">
        <f t="shared" si="46"/>
        <v>213.96033794804805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2.4580042468249474</v>
      </c>
      <c r="EW65" s="21">
        <f>EXP(-LN(2)/25)*EW64+(1-EXP(-LN(2)/25))/(LN(2)/25)*Calculateur!ER65*Calculateur!ET65*VLOOKUP('Données projet'!$B$15,Paramètres!$A$1:$I$89,3,0)*0.475*44/12</f>
        <v>3.800216126475791</v>
      </c>
      <c r="EX65" s="21">
        <f>EXP(-LN(2)/2)*EX64+(1-EXP(-LN(2)/2))/(LN(2)/2)*ER65*EU65*VLOOKUP('Données projet'!$B$15,Paramètres!$A$1:$I$89,3,0)*0.475*44/12</f>
        <v>2.1938382884079114E-4</v>
      </c>
      <c r="EY65" s="22">
        <f t="shared" si="21"/>
        <v>6.2584397571295796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15.3</v>
      </c>
      <c r="FE65" s="12">
        <f>IF('Données projet'!$A$218&gt;35,FE64+FD65-FM64,IF(A65&lt;'Données projet'!$A$218,$FB$205^A65,IF(A65='Données projet'!$A$218,'Données projet'!$B$218,FE64+FD65-FM64)))</f>
        <v>500.59999999999962</v>
      </c>
      <c r="FF65" s="17">
        <f>FE65*VLOOKUP('Données projet'!$B$16,Paramètres!$A$1:$I$89,3,0)*VLOOKUP('Données projet'!$B$16,Paramètres!$A$1:$I$89,5,0)</f>
        <v>240.78859999999983</v>
      </c>
      <c r="FG65" s="13">
        <f t="shared" si="47"/>
        <v>58.60916920625705</v>
      </c>
      <c r="FH65" s="20">
        <f t="shared" si="22"/>
        <v>521.45111470089739</v>
      </c>
      <c r="FI65" s="59">
        <f t="shared" si="23"/>
        <v>814.78444803423076</v>
      </c>
      <c r="FJ65" s="59">
        <f ca="1">AVERAGE(OFFSET($FI$3,0,0,'Données projet'!$E$16+1,1))-AVERAGE(OFFSET($H$3,0,0,'Données projet'!$E$16+1,1))</f>
        <v>252.30925789500111</v>
      </c>
      <c r="FK65" s="59">
        <f t="shared" si="48"/>
        <v>213.96033794804805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2.4580042468249474</v>
      </c>
      <c r="FR65" s="21">
        <f>EXP(-LN(2)/25)*FR64+(1-EXP(-LN(2)/25))/(LN(2)/25)*Calculateur!FM65*Calculateur!FO65*VLOOKUP('Données projet'!$B$16,Paramètres!$A$1:$I$89,3,0)*0.475*44/12</f>
        <v>3.800216126475791</v>
      </c>
      <c r="FS65" s="21">
        <f>EXP(-LN(2)/2)*FS64+(1-EXP(-LN(2)/2))/(LN(2)/2)*FM65*FP65*VLOOKUP('Données projet'!$B$16,Paramètres!$A$1:$I$89,3,0)*0.475*44/12</f>
        <v>2.1938382884079114E-4</v>
      </c>
      <c r="FT65" s="22">
        <f t="shared" si="24"/>
        <v>6.2584397571295796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>
        <f>VLOOKUP(A65,'Données projet'!$A$243:$I$263,2,0)</f>
        <v>241</v>
      </c>
      <c r="FX65" s="12">
        <f>VLOOKUP(A65,'Données projet'!$A$243:$I$263,9,0)</f>
        <v>2.125</v>
      </c>
      <c r="FY65" s="12">
        <f t="array" ref="FY65">INDEX(FX:FX,MIN(IF(ISNUMBER(FX65:FX261),ROW(FX65:FX261),"")))</f>
        <v>2.125</v>
      </c>
      <c r="FZ65" s="12">
        <f>IF('Données projet'!$A$244&gt;35,FZ64+FY65-GH64,IF(A65&lt;'Données projet'!$A$244,$FW$205^A65,IF(A65='Données projet'!$A$244,'Données projet'!$B$244,FZ64+FY65-GH64)))</f>
        <v>241</v>
      </c>
      <c r="GA65" s="17">
        <f>FZ65*VLOOKUP('Données projet'!$B$17,Paramètres!$A$1:$I$89,3,0)*VLOOKUP('Données projet'!$B$17,Paramètres!$A$1:$I$89,5,0)</f>
        <v>144.11799999999999</v>
      </c>
      <c r="GB65" s="13">
        <f t="shared" si="49"/>
        <v>37.238783899454731</v>
      </c>
      <c r="GC65" s="20">
        <f t="shared" si="25"/>
        <v>315.8630652915503</v>
      </c>
      <c r="GD65" s="59">
        <f t="shared" si="26"/>
        <v>609.19639862488361</v>
      </c>
      <c r="GE65" s="59">
        <f ca="1">AVERAGE(OFFSET($GD$3,0,0,'Données projet'!$E$17+1,1))-AVERAGE(OFFSET($H$3,0,0,'Données projet'!$E$17+1,1))</f>
        <v>117.54638373164624</v>
      </c>
      <c r="GF65" s="59">
        <f t="shared" si="50"/>
        <v>133.0740262536583</v>
      </c>
      <c r="GG65" s="15">
        <f>IF(ISNA(VLOOKUP(A65,'Données projet'!$A$243:$I$263,3,0)),0,VLOOKUP(A65,'Données projet'!$A$243:$I$263,3,0))</f>
        <v>9</v>
      </c>
      <c r="GH65" s="15">
        <f>IF(ISNA(VLOOKUP(A65,'Données projet'!$A$243:$I$263,4,0)),0,VLOOKUP(A65,'Données projet'!$A$243:$I$263,4,0))</f>
        <v>241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1.1738600870198181</v>
      </c>
      <c r="GM65" s="21">
        <f>EXP(-LN(2)/25)*GM64+(1-EXP(-LN(2)/25))/(LN(2)/25)*Calculateur!GH65*Calculateur!GJ65*VLOOKUP('Données projet'!$B$17,Paramètres!$A$1:$I$89,3,0)*0.475*44/12</f>
        <v>3.5643327583269593</v>
      </c>
      <c r="GN65" s="21">
        <f>EXP(-LN(2)/2)*GN64+(1-EXP(-LN(2)/2))/(LN(2)/2)*GH65*GK65*VLOOKUP('Données projet'!$B$17,Paramètres!$A$1:$I$89,3,0)*0.475*44/12</f>
        <v>6.1729776163893741E-5</v>
      </c>
      <c r="GO65" s="21">
        <f t="shared" si="27"/>
        <v>4.7382545751229408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2.8421709430404007E-14</v>
      </c>
      <c r="GV65" s="17">
        <f>GU65*VLOOKUP('Données projet'!$B$18,Paramètres!$A$1:$I$89,3,0)*VLOOKUP('Données projet'!$B$18,Paramètres!$A$1:$I$89,5,0)</f>
        <v>1.3567387213697657E-14</v>
      </c>
      <c r="GW65" s="13">
        <f t="shared" si="51"/>
        <v>2.5717320947985821E-13</v>
      </c>
      <c r="GX65" s="20">
        <f t="shared" si="28"/>
        <v>4.7153987257460977E-13</v>
      </c>
      <c r="GY65" s="59">
        <f t="shared" si="29"/>
        <v>293.33333333333377</v>
      </c>
      <c r="GZ65" s="59">
        <f ca="1">AVERAGE(OFFSET($GY$3,0,0,'Données projet'!$E$18+1,1))-AVERAGE(OFFSET($H$3,0,0,'Données projet'!$E$18+1,1))</f>
        <v>43.147469606759159</v>
      </c>
      <c r="HA65" s="59">
        <f t="shared" si="52"/>
        <v>147.46995307968473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19.134758960552588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8.4103310735502539E-6</v>
      </c>
      <c r="HJ65" s="22">
        <f t="shared" si="30"/>
        <v>19.134767370883662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5.2</v>
      </c>
      <c r="N66" s="13">
        <f>IF('Données projet'!$A$36&gt;35,N65+M66-V65,IF(A66&lt;'Données projet'!$A$36,$K$205^A66,IF(A66='Données projet'!$A$36,'Données projet'!$B$36,N65+M66-V65)))</f>
        <v>149.59999999999994</v>
      </c>
      <c r="O66" s="13">
        <f>N66*VLOOKUP('Données projet'!$B$9,Paramètres!$A$1:$I$89,3,0)*VLOOKUP('Données projet'!$B$9,Paramètres!$A$1:$I$89,5,0)</f>
        <v>135.35807999999994</v>
      </c>
      <c r="P66" s="13">
        <f t="shared" si="33"/>
        <v>35.231528980112806</v>
      </c>
      <c r="Q66" s="20">
        <f t="shared" si="53"/>
        <v>297.11023564036304</v>
      </c>
      <c r="R66" s="59">
        <f t="shared" si="0"/>
        <v>590.4435689736963</v>
      </c>
      <c r="S66" s="59">
        <f ca="1">AVERAGE(OFFSET($R$3,0,0,'Données projet'!$E$9+1,1))-AVERAGE(OFFSET($H$3,0,0,'Données projet'!$E$9+1,1))</f>
        <v>138.8931001150624</v>
      </c>
      <c r="T66" s="59">
        <f t="shared" si="34"/>
        <v>48.964659354096625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4.3</v>
      </c>
      <c r="AI66" s="13">
        <f>IF('Données projet'!$A$62&gt;35,AI65+AH66-AQ65,IF(A66&lt;'Données projet'!$A$62,$AF$205^A66,IF(A66='Données projet'!$A$62,'Données projet'!$B$62,AI65+AH66-AQ65)))</f>
        <v>192.89999999999972</v>
      </c>
      <c r="AJ66" s="13">
        <f>AI66*VLOOKUP('Données projet'!$B$10,Paramètres!$A$1:$I$89,3,0)*VLOOKUP('Données projet'!$B$10,Paramètres!$A$1:$I$89,5,0)</f>
        <v>168.51743999999979</v>
      </c>
      <c r="AK66" s="13">
        <f t="shared" si="35"/>
        <v>42.757810382238745</v>
      </c>
      <c r="AL66" s="20">
        <f t="shared" si="4"/>
        <v>367.97106108239876</v>
      </c>
      <c r="AM66" s="59">
        <f t="shared" si="5"/>
        <v>661.30439441573208</v>
      </c>
      <c r="AN66" s="59">
        <f ca="1">AVERAGE(OFFSET($AM$3,0,0,'Données projet'!$E$10+1,1))-AVERAGE(OFFSET($H$3,0,0,'Données projet'!$E$10+1,1))</f>
        <v>191.94797389630673</v>
      </c>
      <c r="AO66" s="59">
        <f t="shared" si="36"/>
        <v>273.52540822767878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5.6267753203401343</v>
      </c>
      <c r="AW66" s="21">
        <f>EXP(-LN(2)/2)*AW65+(1-EXP(-LN(2)/2))/(LN(2)/2)*AQ66*AT66*VLOOKUP('Données projet'!$B$10,Paramètres!$A$1:$I$89,3,0)*0.475*44/12</f>
        <v>2.503516103331962E-4</v>
      </c>
      <c r="AX66" s="21">
        <f t="shared" si="6"/>
        <v>6.9663680150441047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5.6</v>
      </c>
      <c r="BD66" s="12">
        <f>IF('Données projet'!$A$88&gt;35,BD65+BC66-BL65,IF(A66&lt;'Données projet'!$A$88,$BA$205^A66,IF(A66='Données projet'!$A$88,'Données projet'!$B$88,BD65+BC66-BL65)))</f>
        <v>274.8</v>
      </c>
      <c r="BE66" s="13">
        <f>BD66*VLOOKUP('Données projet'!$B$11,Paramètres!$A$1:$I$89,3,0)*VLOOKUP('Données projet'!$B$11,Paramètres!$A$1:$I$89,5,0)</f>
        <v>171.4752</v>
      </c>
      <c r="BF66" s="13">
        <f t="shared" si="37"/>
        <v>43.420252985462113</v>
      </c>
      <c r="BG66" s="20">
        <f t="shared" si="7"/>
        <v>374.27624728301316</v>
      </c>
      <c r="BH66" s="59">
        <f t="shared" si="8"/>
        <v>667.60958061634642</v>
      </c>
      <c r="BI66" s="59">
        <f ca="1">AVERAGE(OFFSET($BH$3,0,0,'Données projet'!$E$11+1,1))-AVERAGE(OFFSET($H$3,0,0,'Données projet'!$E$11+1,1))</f>
        <v>162.91481796710048</v>
      </c>
      <c r="BJ66" s="59">
        <f t="shared" si="38"/>
        <v>182.56192390367823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1.4468514434019784</v>
      </c>
      <c r="BQ66" s="21">
        <f>EXP(-LN(2)/25)*BQ65+(1-EXP(-LN(2)/25))/(LN(2)/25)*Calculateur!BL66*Calculateur!BN66*VLOOKUP('Données projet'!$B$11,Paramètres!$A$1:$I$89,3,0)*0.475*44/12</f>
        <v>6.1196122272950513</v>
      </c>
      <c r="BR66" s="21">
        <f>EXP(-LN(2)/2)*BR65+(1-EXP(-LN(2)/2))/(LN(2)/2)*BL66*BO66*VLOOKUP('Données projet'!$B$11,Paramètres!$A$1:$I$89,3,0)*0.475*44/12</f>
        <v>1.9388591948444725E-4</v>
      </c>
      <c r="BS66" s="22">
        <f t="shared" si="9"/>
        <v>7.566657556616514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7.5</v>
      </c>
      <c r="BY66" s="12">
        <f>IF('Données projet'!$A$114&gt;35,BY65+BX66-CG65,IF(A66&lt;'Données projet'!$A$114,$BV$205^A66,IF(A66='Données projet'!$A$114,'Données projet'!$B$114,BY65+BX66-CG65)))</f>
        <v>251.29999999999995</v>
      </c>
      <c r="BZ66" s="13">
        <f>BY66*VLOOKUP('Données projet'!$B$12,Paramètres!$A$1:$I$89,3,0)*VLOOKUP('Données projet'!$B$12,Paramètres!$A$1:$I$89,5,0)</f>
        <v>117.60839999999997</v>
      </c>
      <c r="CA66" s="13">
        <f t="shared" si="39"/>
        <v>31.11654601042537</v>
      </c>
      <c r="CB66" s="20">
        <f t="shared" si="10"/>
        <v>259.02928096815748</v>
      </c>
      <c r="CC66" s="59">
        <f t="shared" si="11"/>
        <v>552.36261430149079</v>
      </c>
      <c r="CD66" s="59">
        <f ca="1">AVERAGE(OFFSET($CC$3,0,0,'Données projet'!$E$12+1,1))-AVERAGE(OFFSET($H$3,0,0,'Données projet'!$E$12+1,1))</f>
        <v>123.60520571614535</v>
      </c>
      <c r="CE66" s="59">
        <f t="shared" si="40"/>
        <v>119.00926870519527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0.45117220232869759</v>
      </c>
      <c r="CL66" s="21">
        <f>EXP(-LN(2)/25)*CL65+(1-EXP(-LN(2)/25))/(LN(2)/25)*Calculateur!CG66*Calculateur!CI66*VLOOKUP('Données projet'!$B$12,Paramètres!$A$1:$I$89,3,0)*0.475*44/12</f>
        <v>1.9132585545713336</v>
      </c>
      <c r="CM66" s="21">
        <f>EXP(-LN(2)/2)*CM65+(1-EXP(-LN(2)/2))/(LN(2)/2)*CG66*CJ66*VLOOKUP('Données projet'!$B$12,Paramètres!$A$1:$I$89,3,0)*0.475*44/12</f>
        <v>6.5964449256222617E-5</v>
      </c>
      <c r="CN66" s="22">
        <f t="shared" si="12"/>
        <v>2.3644967213492873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149.59999999999994</v>
      </c>
      <c r="CU66" s="17">
        <f>CT66*VLOOKUP('Données projet'!$B$13,Paramètres!$A$1:$I$89,3,0)*VLOOKUP('Données projet'!$B$13,Paramètres!$A$1:$I$89,5,0)</f>
        <v>156.36191999999997</v>
      </c>
      <c r="CV66" s="13">
        <f t="shared" si="41"/>
        <v>40.020841092261293</v>
      </c>
      <c r="CW66" s="20">
        <f t="shared" si="13"/>
        <v>342.03330890235503</v>
      </c>
      <c r="CX66" s="59">
        <f t="shared" si="14"/>
        <v>635.36664223568835</v>
      </c>
      <c r="CY66" s="59">
        <f ca="1">AVERAGE(OFFSET($CX$3,0,0,'Données projet'!$E$13+1,1))-AVERAGE(OFFSET($H$3,0,0,'Données projet'!$E$13+1,1))</f>
        <v>177.94336949486529</v>
      </c>
      <c r="CZ66" s="59">
        <f t="shared" si="42"/>
        <v>65.559373432574603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</v>
      </c>
      <c r="DO66" s="12">
        <f>IF('Données projet'!$A$166&gt;35,DO65+DN66-DW65,IF(A66&lt;'Données projet'!$A$166,$DL$205^A66,IF(A66='Données projet'!$A$166,'Données projet'!$B$166,DO65+DN66-DW65)))</f>
        <v>299.00000000000006</v>
      </c>
      <c r="DP66" s="17">
        <f>DO66*VLOOKUP('Données projet'!$B$14,Paramètres!$A$1:$I$89,3,0)*VLOOKUP('Données projet'!$B$14,Paramètres!$A$1:$I$89,5,0)</f>
        <v>178.80200000000002</v>
      </c>
      <c r="DQ66" s="13">
        <f t="shared" si="43"/>
        <v>45.055549739375941</v>
      </c>
      <c r="DR66" s="20">
        <f t="shared" si="16"/>
        <v>389.88523246274644</v>
      </c>
      <c r="DS66" s="59">
        <f t="shared" si="17"/>
        <v>683.2185657960797</v>
      </c>
      <c r="DT66" s="59">
        <f ca="1">AVERAGE(OFFSET($DS$3,0,0,'Données projet'!$E$14+1,1))-AVERAGE(OFFSET($H$3,0,0,'Données projet'!$E$14+1,1))</f>
        <v>165.39579887388538</v>
      </c>
      <c r="DU66" s="59">
        <f t="shared" si="44"/>
        <v>155.89639262545802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2.9195973637788382</v>
      </c>
      <c r="EC66" s="21">
        <f>EXP(-LN(2)/2)*EC65+(1-EXP(-LN(2)/2))/(LN(2)/2)*DW66*DZ66*VLOOKUP('Données projet'!$B$14,Paramètres!$A$1:$I$89,3,0)*0.475*44/12</f>
        <v>1.4975993944697037E-4</v>
      </c>
      <c r="ED66" s="22">
        <f t="shared" si="18"/>
        <v>2.919747123718285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15.3</v>
      </c>
      <c r="EJ66" s="12">
        <f>IF('Données projet'!$A$192&gt;35,EJ65+EI66-ER65,IF(A66&lt;'Données projet'!$A$192,$EG$205^A66,IF(A66='Données projet'!$A$192,'Données projet'!$B$192,EJ65+EI66-ER65)))</f>
        <v>515.89999999999964</v>
      </c>
      <c r="EK66" s="17">
        <f>EJ66*VLOOKUP('Données projet'!$B$15,Paramètres!$A$1:$I$89,3,0)*VLOOKUP('Données projet'!$B$15,Paramètres!$A$1:$I$89,5,0)</f>
        <v>248.14789999999982</v>
      </c>
      <c r="EL66" s="13">
        <f t="shared" si="45"/>
        <v>60.189170038071069</v>
      </c>
      <c r="EM66" s="20">
        <f t="shared" si="19"/>
        <v>537.02039698297347</v>
      </c>
      <c r="EN66" s="59">
        <f t="shared" si="20"/>
        <v>830.35373031630684</v>
      </c>
      <c r="EO66" s="59">
        <f ca="1">AVERAGE(OFFSET($EN$3,0,0,'Données projet'!$E$15+1,1))-AVERAGE(OFFSET($H$3,0,0,'Données projet'!$E$15+1,1))</f>
        <v>252.30925789500111</v>
      </c>
      <c r="EP66" s="59">
        <f t="shared" si="46"/>
        <v>213.96033794804805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2.4098042827792638</v>
      </c>
      <c r="EW66" s="21">
        <f>EXP(-LN(2)/25)*EW65+(1-EXP(-LN(2)/25))/(LN(2)/25)*Calculateur!ER66*Calculateur!ET66*VLOOKUP('Données projet'!$B$15,Paramètres!$A$1:$I$89,3,0)*0.475*44/12</f>
        <v>3.6962990166526297</v>
      </c>
      <c r="EX66" s="21">
        <f>EXP(-LN(2)/2)*EX65+(1-EXP(-LN(2)/2))/(LN(2)/2)*ER66*EU66*VLOOKUP('Données projet'!$B$15,Paramètres!$A$1:$I$89,3,0)*0.475*44/12</f>
        <v>1.5512779305599229E-4</v>
      </c>
      <c r="EY66" s="22">
        <f t="shared" si="21"/>
        <v>6.1062584272249492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15.3</v>
      </c>
      <c r="FE66" s="12">
        <f>IF('Données projet'!$A$218&gt;35,FE65+FD66-FM65,IF(A66&lt;'Données projet'!$A$218,$FB$205^A66,IF(A66='Données projet'!$A$218,'Données projet'!$B$218,FE65+FD66-FM65)))</f>
        <v>515.89999999999964</v>
      </c>
      <c r="FF66" s="17">
        <f>FE66*VLOOKUP('Données projet'!$B$16,Paramètres!$A$1:$I$89,3,0)*VLOOKUP('Données projet'!$B$16,Paramètres!$A$1:$I$89,5,0)</f>
        <v>248.14789999999982</v>
      </c>
      <c r="FG66" s="13">
        <f t="shared" si="47"/>
        <v>60.189170038071069</v>
      </c>
      <c r="FH66" s="20">
        <f t="shared" si="22"/>
        <v>537.02039698297347</v>
      </c>
      <c r="FI66" s="59">
        <f t="shared" si="23"/>
        <v>830.35373031630684</v>
      </c>
      <c r="FJ66" s="59">
        <f ca="1">AVERAGE(OFFSET($FI$3,0,0,'Données projet'!$E$16+1,1))-AVERAGE(OFFSET($H$3,0,0,'Données projet'!$E$16+1,1))</f>
        <v>252.30925789500111</v>
      </c>
      <c r="FK66" s="59">
        <f t="shared" si="48"/>
        <v>213.96033794804805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2.4098042827792638</v>
      </c>
      <c r="FR66" s="21">
        <f>EXP(-LN(2)/25)*FR65+(1-EXP(-LN(2)/25))/(LN(2)/25)*Calculateur!FM66*Calculateur!FO66*VLOOKUP('Données projet'!$B$16,Paramètres!$A$1:$I$89,3,0)*0.475*44/12</f>
        <v>3.6962990166526297</v>
      </c>
      <c r="FS66" s="21">
        <f>EXP(-LN(2)/2)*FS65+(1-EXP(-LN(2)/2))/(LN(2)/2)*FM66*FP66*VLOOKUP('Données projet'!$B$16,Paramètres!$A$1:$I$89,3,0)*0.475*44/12</f>
        <v>1.5512779305599229E-4</v>
      </c>
      <c r="FT66" s="22">
        <f t="shared" si="24"/>
        <v>6.1062584272249492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>
        <f>FZ66*VLOOKUP('Données projet'!$B$17,Paramètres!$A$1:$I$89,3,0)*VLOOKUP('Données projet'!$B$17,Paramètres!$A$1:$I$89,5,0)</f>
        <v>0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117.54638373164624</v>
      </c>
      <c r="GF66" s="59">
        <f t="shared" si="50"/>
        <v>133.0740262536583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1.1508414066973149</v>
      </c>
      <c r="GM66" s="21">
        <f>EXP(-LN(2)/25)*GM65+(1-EXP(-LN(2)/25))/(LN(2)/25)*Calculateur!GH66*Calculateur!GJ66*VLOOKUP('Données projet'!$B$17,Paramètres!$A$1:$I$89,3,0)*0.475*44/12</f>
        <v>3.4668658916103952</v>
      </c>
      <c r="GN66" s="21">
        <f>EXP(-LN(2)/2)*GN65+(1-EXP(-LN(2)/2))/(LN(2)/2)*GH66*GK66*VLOOKUP('Données projet'!$B$17,Paramètres!$A$1:$I$89,3,0)*0.475*44/12</f>
        <v>4.3649543326616969E-5</v>
      </c>
      <c r="GO66" s="21">
        <f t="shared" si="27"/>
        <v>4.6177509478510368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2.8421709430404007E-14</v>
      </c>
      <c r="GV66" s="17">
        <f>GU66*VLOOKUP('Données projet'!$B$18,Paramètres!$A$1:$I$89,3,0)*VLOOKUP('Données projet'!$B$18,Paramètres!$A$1:$I$89,5,0)</f>
        <v>1.3567387213697657E-14</v>
      </c>
      <c r="GW66" s="13">
        <f t="shared" si="51"/>
        <v>2.5717320947985821E-13</v>
      </c>
      <c r="GX66" s="20">
        <f t="shared" si="28"/>
        <v>4.7153987257460977E-13</v>
      </c>
      <c r="GY66" s="59">
        <f t="shared" si="29"/>
        <v>293.33333333333377</v>
      </c>
      <c r="GZ66" s="59">
        <f ca="1">AVERAGE(OFFSET($GY$3,0,0,'Données projet'!$E$18+1,1))-AVERAGE(OFFSET($H$3,0,0,'Données projet'!$E$18+1,1))</f>
        <v>43.147469606759159</v>
      </c>
      <c r="HA66" s="59">
        <f t="shared" si="52"/>
        <v>147.46995307968473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18.759538008386698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5.9470021341313209E-6</v>
      </c>
      <c r="HJ66" s="22">
        <f t="shared" si="30"/>
        <v>18.759543955388832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5.2</v>
      </c>
      <c r="N67" s="13">
        <f>IF('Données projet'!$A$36&gt;35,N66+M67-V66,IF(A67&lt;'Données projet'!$A$36,$K$205^A67,IF(A67='Données projet'!$A$36,'Données projet'!$B$36,N66+M67-V66)))</f>
        <v>154.79999999999993</v>
      </c>
      <c r="O67" s="13">
        <f>N67*VLOOKUP('Données projet'!$B$9,Paramètres!$A$1:$I$89,3,0)*VLOOKUP('Données projet'!$B$9,Paramètres!$A$1:$I$89,5,0)</f>
        <v>140.06303999999992</v>
      </c>
      <c r="P67" s="13">
        <f t="shared" si="33"/>
        <v>36.311446695369504</v>
      </c>
      <c r="Q67" s="20">
        <f t="shared" ref="Q67:Q98" si="54">(O67+P67)*0.475*44/12</f>
        <v>307.18556432776842</v>
      </c>
      <c r="R67" s="59">
        <f t="shared" ref="R67:R130" si="55">Q67+(I67+J67)*44/12</f>
        <v>600.51889766110173</v>
      </c>
      <c r="S67" s="59">
        <f ca="1">AVERAGE(OFFSET($R$3,0,0,'Données projet'!$E$9+1,1))-AVERAGE(OFFSET($H$3,0,0,'Données projet'!$E$9+1,1))</f>
        <v>138.8931001150624</v>
      </c>
      <c r="T67" s="59">
        <f t="shared" si="34"/>
        <v>48.964659354096625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4.3</v>
      </c>
      <c r="AI67" s="13">
        <f>IF('Données projet'!$A$62&gt;35,AI66+AH67-AQ66,IF(A67&lt;'Données projet'!$A$62,$AF$205^A67,IF(A67='Données projet'!$A$62,'Données projet'!$B$62,AI66+AH67-AQ66)))</f>
        <v>197.19999999999973</v>
      </c>
      <c r="AJ67" s="13">
        <f>AI67*VLOOKUP('Données projet'!$B$10,Paramètres!$A$1:$I$89,3,0)*VLOOKUP('Données projet'!$B$10,Paramètres!$A$1:$I$89,5,0)</f>
        <v>172.27391999999978</v>
      </c>
      <c r="AK67" s="13">
        <f t="shared" si="35"/>
        <v>43.598911513699527</v>
      </c>
      <c r="AL67" s="20">
        <f t="shared" si="4"/>
        <v>375.97851488635962</v>
      </c>
      <c r="AM67" s="59">
        <f t="shared" si="5"/>
        <v>669.31184821969293</v>
      </c>
      <c r="AN67" s="59">
        <f ca="1">AVERAGE(OFFSET($AM$3,0,0,'Données projet'!$E$10+1,1))-AVERAGE(OFFSET($H$3,0,0,'Données projet'!$E$10+1,1))</f>
        <v>191.94797389630673</v>
      </c>
      <c r="AO67" s="59">
        <f t="shared" si="36"/>
        <v>273.52540822767878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5.4729108533061792</v>
      </c>
      <c r="AW67" s="21">
        <f>EXP(-LN(2)/2)*AW66+(1-EXP(-LN(2)/2))/(LN(2)/2)*AQ67*AT67*VLOOKUP('Données projet'!$B$10,Paramètres!$A$1:$I$89,3,0)*0.475*44/12</f>
        <v>1.7702532134757518E-4</v>
      </c>
      <c r="AX67" s="21">
        <f t="shared" si="6"/>
        <v>6.7861665352912635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5.6</v>
      </c>
      <c r="BD67" s="12">
        <f>IF('Données projet'!$A$88&gt;35,BD66+BC67-BL66,IF(A67&lt;'Données projet'!$A$88,$BA$205^A67,IF(A67='Données projet'!$A$88,'Données projet'!$B$88,BD66+BC67-BL66)))</f>
        <v>280.40000000000003</v>
      </c>
      <c r="BE67" s="13">
        <f>BD67*VLOOKUP('Données projet'!$B$11,Paramètres!$A$1:$I$89,3,0)*VLOOKUP('Données projet'!$B$11,Paramètres!$A$1:$I$89,5,0)</f>
        <v>174.96960000000001</v>
      </c>
      <c r="BF67" s="13">
        <f t="shared" si="37"/>
        <v>44.201175302409062</v>
      </c>
      <c r="BG67" s="20">
        <f t="shared" si="7"/>
        <v>381.72243365169578</v>
      </c>
      <c r="BH67" s="59">
        <f t="shared" si="8"/>
        <v>675.05576698502909</v>
      </c>
      <c r="BI67" s="59">
        <f ca="1">AVERAGE(OFFSET($BH$3,0,0,'Données projet'!$E$11+1,1))-AVERAGE(OFFSET($H$3,0,0,'Données projet'!$E$11+1,1))</f>
        <v>162.91481796710048</v>
      </c>
      <c r="BJ67" s="59">
        <f t="shared" si="38"/>
        <v>182.56192390367823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1.4184795690891072</v>
      </c>
      <c r="BQ67" s="21">
        <f>EXP(-LN(2)/25)*BQ66+(1-EXP(-LN(2)/25))/(LN(2)/25)*Calculateur!BL67*Calculateur!BN67*VLOOKUP('Données projet'!$B$11,Paramètres!$A$1:$I$89,3,0)*0.475*44/12</f>
        <v>5.9522711091232479</v>
      </c>
      <c r="BR67" s="21">
        <f>EXP(-LN(2)/2)*BR66+(1-EXP(-LN(2)/2))/(LN(2)/2)*BL67*BO67*VLOOKUP('Données projet'!$B$11,Paramètres!$A$1:$I$89,3,0)*0.475*44/12</f>
        <v>1.3709804844404161E-4</v>
      </c>
      <c r="BS67" s="22">
        <f t="shared" si="9"/>
        <v>7.3708877762607985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7.5</v>
      </c>
      <c r="BY67" s="12">
        <f>IF('Données projet'!$A$114&gt;35,BY66+BX67-CG66,IF(A67&lt;'Données projet'!$A$114,$BV$205^A67,IF(A67='Données projet'!$A$114,'Données projet'!$B$114,BY66+BX67-CG66)))</f>
        <v>258.79999999999995</v>
      </c>
      <c r="BZ67" s="13">
        <f>BY67*VLOOKUP('Données projet'!$B$12,Paramètres!$A$1:$I$89,3,0)*VLOOKUP('Données projet'!$B$12,Paramètres!$A$1:$I$89,5,0)</f>
        <v>121.11839999999998</v>
      </c>
      <c r="CA67" s="13">
        <f t="shared" si="39"/>
        <v>31.935706725782151</v>
      </c>
      <c r="CB67" s="20">
        <f t="shared" si="10"/>
        <v>266.56923588073721</v>
      </c>
      <c r="CC67" s="59">
        <f t="shared" si="11"/>
        <v>559.90256921407058</v>
      </c>
      <c r="CD67" s="59">
        <f ca="1">AVERAGE(OFFSET($CC$3,0,0,'Données projet'!$E$12+1,1))-AVERAGE(OFFSET($H$3,0,0,'Données projet'!$E$12+1,1))</f>
        <v>123.60520571614535</v>
      </c>
      <c r="CE67" s="59">
        <f t="shared" si="40"/>
        <v>119.00926870519527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0.44232499062890268</v>
      </c>
      <c r="CL67" s="21">
        <f>EXP(-LN(2)/25)*CL66+(1-EXP(-LN(2)/25))/(LN(2)/25)*Calculateur!CG67*Calculateur!CI67*VLOOKUP('Données projet'!$B$12,Paramètres!$A$1:$I$89,3,0)*0.475*44/12</f>
        <v>1.860940398782686</v>
      </c>
      <c r="CM67" s="21">
        <f>EXP(-LN(2)/2)*CM66+(1-EXP(-LN(2)/2))/(LN(2)/2)*CG67*CJ67*VLOOKUP('Données projet'!$B$12,Paramètres!$A$1:$I$89,3,0)*0.475*44/12</f>
        <v>4.6643909386310924E-5</v>
      </c>
      <c r="CN67" s="22">
        <f t="shared" si="12"/>
        <v>2.3033120333209753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154.79999999999993</v>
      </c>
      <c r="CU67" s="17">
        <f>CT67*VLOOKUP('Données projet'!$B$13,Paramètres!$A$1:$I$89,3,0)*VLOOKUP('Données projet'!$B$13,Paramètres!$A$1:$I$89,5,0)</f>
        <v>161.79695999999993</v>
      </c>
      <c r="CV67" s="13">
        <f t="shared" si="41"/>
        <v>41.247560923222963</v>
      </c>
      <c r="CW67" s="20">
        <f t="shared" si="13"/>
        <v>353.63587394127984</v>
      </c>
      <c r="CX67" s="59">
        <f t="shared" si="14"/>
        <v>646.96920727461315</v>
      </c>
      <c r="CY67" s="59">
        <f ca="1">AVERAGE(OFFSET($CX$3,0,0,'Données projet'!$E$13+1,1))-AVERAGE(OFFSET($H$3,0,0,'Données projet'!$E$13+1,1))</f>
        <v>177.94336949486529</v>
      </c>
      <c r="CZ67" s="59">
        <f t="shared" si="42"/>
        <v>65.559373432574603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</v>
      </c>
      <c r="DO67" s="12">
        <f>IF('Données projet'!$A$166&gt;35,DO66+DN67-DW66,IF(A67&lt;'Données projet'!$A$166,$DL$205^A67,IF(A67='Données projet'!$A$166,'Données projet'!$B$166,DO66+DN67-DW66)))</f>
        <v>307.00000000000006</v>
      </c>
      <c r="DP67" s="17">
        <f>DO67*VLOOKUP('Données projet'!$B$14,Paramètres!$A$1:$I$89,3,0)*VLOOKUP('Données projet'!$B$14,Paramètres!$A$1:$I$89,5,0)</f>
        <v>183.58600000000004</v>
      </c>
      <c r="DQ67" s="13">
        <f t="shared" si="43"/>
        <v>46.119086835316438</v>
      </c>
      <c r="DR67" s="20">
        <f t="shared" si="16"/>
        <v>400.0696929048429</v>
      </c>
      <c r="DS67" s="59">
        <f t="shared" si="17"/>
        <v>693.40302623817615</v>
      </c>
      <c r="DT67" s="59">
        <f ca="1">AVERAGE(OFFSET($DS$3,0,0,'Données projet'!$E$14+1,1))-AVERAGE(OFFSET($H$3,0,0,'Données projet'!$E$14+1,1))</f>
        <v>165.39579887388538</v>
      </c>
      <c r="DU67" s="59">
        <f t="shared" si="44"/>
        <v>155.89639262545802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2.8397608203313531</v>
      </c>
      <c r="EC67" s="21">
        <f>EXP(-LN(2)/2)*EC66+(1-EXP(-LN(2)/2))/(LN(2)/2)*DW67*DZ67*VLOOKUP('Données projet'!$B$14,Paramètres!$A$1:$I$89,3,0)*0.475*44/12</f>
        <v>1.0589626873303949E-4</v>
      </c>
      <c r="ED67" s="22">
        <f t="shared" si="18"/>
        <v>2.8398667166000862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15.3</v>
      </c>
      <c r="EJ67" s="12">
        <f>IF('Données projet'!$A$192&gt;35,EJ66+EI67-ER66,IF(A67&lt;'Données projet'!$A$192,$EG$205^A67,IF(A67='Données projet'!$A$192,'Données projet'!$B$192,EJ66+EI67-ER66)))</f>
        <v>531.19999999999959</v>
      </c>
      <c r="EK67" s="17">
        <f>EJ67*VLOOKUP('Données projet'!$B$15,Paramètres!$A$1:$I$89,3,0)*VLOOKUP('Données projet'!$B$15,Paramètres!$A$1:$I$89,5,0)</f>
        <v>255.50719999999981</v>
      </c>
      <c r="EL67" s="13">
        <f t="shared" si="45"/>
        <v>61.763725165286317</v>
      </c>
      <c r="EM67" s="20">
        <f t="shared" si="19"/>
        <v>552.5801946628734</v>
      </c>
      <c r="EN67" s="59">
        <f t="shared" si="20"/>
        <v>845.91352799620677</v>
      </c>
      <c r="EO67" s="59">
        <f ca="1">AVERAGE(OFFSET($EN$3,0,0,'Données projet'!$E$15+1,1))-AVERAGE(OFFSET($H$3,0,0,'Données projet'!$E$15+1,1))</f>
        <v>252.30925789500111</v>
      </c>
      <c r="EP67" s="59">
        <f t="shared" si="46"/>
        <v>213.96033794804805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2.3625494906294406</v>
      </c>
      <c r="EW67" s="21">
        <f>EXP(-LN(2)/25)*EW66+(1-EXP(-LN(2)/25))/(LN(2)/25)*Calculateur!ER67*Calculateur!ET67*VLOOKUP('Données projet'!$B$15,Paramètres!$A$1:$I$89,3,0)*0.475*44/12</f>
        <v>3.5952235256623464</v>
      </c>
      <c r="EX67" s="21">
        <f>EXP(-LN(2)/2)*EX66+(1-EXP(-LN(2)/2))/(LN(2)/2)*ER67*EU67*VLOOKUP('Données projet'!$B$15,Paramètres!$A$1:$I$89,3,0)*0.475*44/12</f>
        <v>1.0969191442039557E-4</v>
      </c>
      <c r="EY67" s="22">
        <f t="shared" si="21"/>
        <v>5.9578827082062071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15.3</v>
      </c>
      <c r="FE67" s="12">
        <f>IF('Données projet'!$A$218&gt;35,FE66+FD67-FM66,IF(A67&lt;'Données projet'!$A$218,$FB$205^A67,IF(A67='Données projet'!$A$218,'Données projet'!$B$218,FE66+FD67-FM66)))</f>
        <v>531.19999999999959</v>
      </c>
      <c r="FF67" s="17">
        <f>FE67*VLOOKUP('Données projet'!$B$16,Paramètres!$A$1:$I$89,3,0)*VLOOKUP('Données projet'!$B$16,Paramètres!$A$1:$I$89,5,0)</f>
        <v>255.50719999999981</v>
      </c>
      <c r="FG67" s="13">
        <f t="shared" si="47"/>
        <v>61.763725165286317</v>
      </c>
      <c r="FH67" s="20">
        <f t="shared" si="22"/>
        <v>552.5801946628734</v>
      </c>
      <c r="FI67" s="59">
        <f t="shared" si="23"/>
        <v>845.91352799620677</v>
      </c>
      <c r="FJ67" s="59">
        <f ca="1">AVERAGE(OFFSET($FI$3,0,0,'Données projet'!$E$16+1,1))-AVERAGE(OFFSET($H$3,0,0,'Données projet'!$E$16+1,1))</f>
        <v>252.30925789500111</v>
      </c>
      <c r="FK67" s="59">
        <f t="shared" si="48"/>
        <v>213.96033794804805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2.3625494906294406</v>
      </c>
      <c r="FR67" s="21">
        <f>EXP(-LN(2)/25)*FR66+(1-EXP(-LN(2)/25))/(LN(2)/25)*Calculateur!FM67*Calculateur!FO67*VLOOKUP('Données projet'!$B$16,Paramètres!$A$1:$I$89,3,0)*0.475*44/12</f>
        <v>3.5952235256623464</v>
      </c>
      <c r="FS67" s="21">
        <f>EXP(-LN(2)/2)*FS66+(1-EXP(-LN(2)/2))/(LN(2)/2)*FM67*FP67*VLOOKUP('Données projet'!$B$16,Paramètres!$A$1:$I$89,3,0)*0.475*44/12</f>
        <v>1.0969191442039557E-4</v>
      </c>
      <c r="FT67" s="22">
        <f t="shared" si="24"/>
        <v>5.9578827082062071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>
        <f>FZ67*VLOOKUP('Données projet'!$B$17,Paramètres!$A$1:$I$89,3,0)*VLOOKUP('Données projet'!$B$17,Paramètres!$A$1:$I$89,5,0)</f>
        <v>0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117.54638373164624</v>
      </c>
      <c r="GF67" s="59">
        <f t="shared" si="50"/>
        <v>133.0740262536583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1.1282741086559274</v>
      </c>
      <c r="GM67" s="21">
        <f>EXP(-LN(2)/25)*GM66+(1-EXP(-LN(2)/25))/(LN(2)/25)*Calculateur!GH67*Calculateur!GJ67*VLOOKUP('Données projet'!$B$17,Paramètres!$A$1:$I$89,3,0)*0.475*44/12</f>
        <v>3.3720642614897551</v>
      </c>
      <c r="GN67" s="21">
        <f>EXP(-LN(2)/2)*GN66+(1-EXP(-LN(2)/2))/(LN(2)/2)*GH67*GK67*VLOOKUP('Données projet'!$B$17,Paramètres!$A$1:$I$89,3,0)*0.475*44/12</f>
        <v>3.086488808194687E-5</v>
      </c>
      <c r="GO67" s="21">
        <f t="shared" si="27"/>
        <v>4.5003692350337641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2.8421709430404007E-14</v>
      </c>
      <c r="GV67" s="17">
        <f>GU67*VLOOKUP('Données projet'!$B$18,Paramètres!$A$1:$I$89,3,0)*VLOOKUP('Données projet'!$B$18,Paramètres!$A$1:$I$89,5,0)</f>
        <v>1.3567387213697657E-14</v>
      </c>
      <c r="GW67" s="13">
        <f t="shared" si="51"/>
        <v>2.5717320947985821E-13</v>
      </c>
      <c r="GX67" s="20">
        <f t="shared" si="28"/>
        <v>4.7153987257460977E-13</v>
      </c>
      <c r="GY67" s="59">
        <f t="shared" si="29"/>
        <v>293.33333333333377</v>
      </c>
      <c r="GZ67" s="59">
        <f ca="1">AVERAGE(OFFSET($GY$3,0,0,'Données projet'!$E$18+1,1))-AVERAGE(OFFSET($H$3,0,0,'Données projet'!$E$18+1,1))</f>
        <v>43.147469606759159</v>
      </c>
      <c r="HA67" s="59">
        <f t="shared" si="52"/>
        <v>147.46995307968473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18.391674910230599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4.205165536775127E-6</v>
      </c>
      <c r="HJ67" s="22">
        <f t="shared" si="30"/>
        <v>18.391679115396137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5.2</v>
      </c>
      <c r="N68" s="13">
        <f>IF('Données projet'!$A$36&gt;35,N67+M68-V67,IF(A68&lt;'Données projet'!$A$36,$K$205^A68,IF(A68='Données projet'!$A$36,'Données projet'!$B$36,N67+M68-V67)))</f>
        <v>159.99999999999991</v>
      </c>
      <c r="O68" s="13">
        <f>N68*VLOOKUP('Données projet'!$B$9,Paramètres!$A$1:$I$89,3,0)*VLOOKUP('Données projet'!$B$9,Paramètres!$A$1:$I$89,5,0)</f>
        <v>144.76799999999992</v>
      </c>
      <c r="P68" s="13">
        <f t="shared" si="33"/>
        <v>37.387149255707826</v>
      </c>
      <c r="Q68" s="20">
        <f t="shared" si="54"/>
        <v>317.2535516203576</v>
      </c>
      <c r="R68" s="59">
        <f t="shared" si="55"/>
        <v>610.58688495369097</v>
      </c>
      <c r="S68" s="59">
        <f ca="1">AVERAGE(OFFSET($R$3,0,0,'Données projet'!$E$9+1,1))-AVERAGE(OFFSET($H$3,0,0,'Données projet'!$E$9+1,1))</f>
        <v>138.8931001150624</v>
      </c>
      <c r="T68" s="59">
        <f t="shared" si="34"/>
        <v>48.964659354096625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4.3</v>
      </c>
      <c r="AI68" s="13">
        <f>IF('Données projet'!$A$62&gt;35,AI67+AH68-AQ67,IF(A68&lt;'Données projet'!$A$62,$AF$205^A68,IF(A68='Données projet'!$A$62,'Données projet'!$B$62,AI67+AH68-AQ67)))</f>
        <v>201.49999999999974</v>
      </c>
      <c r="AJ68" s="13">
        <f>AI68*VLOOKUP('Données projet'!$B$10,Paramètres!$A$1:$I$89,3,0)*VLOOKUP('Données projet'!$B$10,Paramètres!$A$1:$I$89,5,0)</f>
        <v>176.03039999999979</v>
      </c>
      <c r="AK68" s="13">
        <f t="shared" si="35"/>
        <v>44.437880346232902</v>
      </c>
      <c r="AL68" s="20">
        <f t="shared" ref="AL68:AL131" si="58">(AJ68+AK68)*0.475*44/12</f>
        <v>383.98225493635528</v>
      </c>
      <c r="AM68" s="59">
        <f t="shared" ref="AM68:AM131" si="59">AL68+(AD68+AE68)*44/12</f>
        <v>677.31558826968853</v>
      </c>
      <c r="AN68" s="59">
        <f ca="1">AVERAGE(OFFSET($AM$3,0,0,'Données projet'!$E$10+1,1))-AVERAGE(OFFSET($H$3,0,0,'Données projet'!$E$10+1,1))</f>
        <v>191.94797389630673</v>
      </c>
      <c r="AO68" s="59">
        <f t="shared" si="36"/>
        <v>273.52540822767878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5.3232538182146483</v>
      </c>
      <c r="AW68" s="21">
        <f>EXP(-LN(2)/2)*AW67+(1-EXP(-LN(2)/2))/(LN(2)/2)*AQ68*AT68*VLOOKUP('Données projet'!$B$10,Paramètres!$A$1:$I$89,3,0)*0.475*44/12</f>
        <v>1.251758051665981E-4</v>
      </c>
      <c r="AX68" s="21">
        <f t="shared" ref="AX68:AX131" si="60">SUM(AU68:AW68)</f>
        <v>6.610708979125274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5.6</v>
      </c>
      <c r="BD68" s="12">
        <f>IF('Données projet'!$A$88&gt;35,BD67+BC68-BL67,IF(A68&lt;'Données projet'!$A$88,$BA$205^A68,IF(A68='Données projet'!$A$88,'Données projet'!$B$88,BD67+BC68-BL67)))</f>
        <v>286.00000000000006</v>
      </c>
      <c r="BE68" s="13">
        <f>BD68*VLOOKUP('Données projet'!$B$11,Paramètres!$A$1:$I$89,3,0)*VLOOKUP('Données projet'!$B$11,Paramètres!$A$1:$I$89,5,0)</f>
        <v>178.46400000000006</v>
      </c>
      <c r="BF68" s="13">
        <f t="shared" si="37"/>
        <v>44.980284206661857</v>
      </c>
      <c r="BG68" s="20">
        <f t="shared" ref="BG68:BG131" si="61">(BE68+BF68)*0.475*44/12</f>
        <v>389.16546165993617</v>
      </c>
      <c r="BH68" s="59">
        <f t="shared" ref="BH68:BH131" si="62">BG68+(AY68+AZ68)*44/12</f>
        <v>682.49879499326948</v>
      </c>
      <c r="BI68" s="59">
        <f ca="1">AVERAGE(OFFSET($BH$3,0,0,'Données projet'!$E$11+1,1))-AVERAGE(OFFSET($H$3,0,0,'Données projet'!$E$11+1,1))</f>
        <v>162.91481796710048</v>
      </c>
      <c r="BJ68" s="59">
        <f t="shared" si="38"/>
        <v>182.56192390367823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1.3906640499263769</v>
      </c>
      <c r="BQ68" s="21">
        <f>EXP(-LN(2)/25)*BQ67+(1-EXP(-LN(2)/25))/(LN(2)/25)*Calculateur!BL68*Calculateur!BN68*VLOOKUP('Données projet'!$B$11,Paramètres!$A$1:$I$89,3,0)*0.475*44/12</f>
        <v>5.7895059426279394</v>
      </c>
      <c r="BR68" s="21">
        <f>EXP(-LN(2)/2)*BR67+(1-EXP(-LN(2)/2))/(LN(2)/2)*BL68*BO68*VLOOKUP('Données projet'!$B$11,Paramètres!$A$1:$I$89,3,0)*0.475*44/12</f>
        <v>9.6942959742223623E-5</v>
      </c>
      <c r="BS68" s="22">
        <f t="shared" ref="BS68:BS131" si="63">SUM(BP68:BR68)</f>
        <v>7.1802669355140587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7.5</v>
      </c>
      <c r="BY68" s="12">
        <f>IF('Données projet'!$A$114&gt;35,BY67+BX68-CG67,IF(A68&lt;'Données projet'!$A$114,$BV$205^A68,IF(A68='Données projet'!$A$114,'Données projet'!$B$114,BY67+BX68-CG67)))</f>
        <v>266.29999999999995</v>
      </c>
      <c r="BZ68" s="13">
        <f>BY68*VLOOKUP('Données projet'!$B$12,Paramètres!$A$1:$I$89,3,0)*VLOOKUP('Données projet'!$B$12,Paramètres!$A$1:$I$89,5,0)</f>
        <v>124.62839999999998</v>
      </c>
      <c r="CA68" s="13">
        <f t="shared" si="39"/>
        <v>32.752108445357337</v>
      </c>
      <c r="CB68" s="20">
        <f t="shared" ref="CB68:CB131" si="64">(BZ68+CA68)*0.475*44/12</f>
        <v>274.10438554233065</v>
      </c>
      <c r="CC68" s="59">
        <f t="shared" ref="CC68:CC131" si="65">CB68+(BT68+BU68)*44/12</f>
        <v>567.4377188756639</v>
      </c>
      <c r="CD68" s="59">
        <f ca="1">AVERAGE(OFFSET($CC$3,0,0,'Données projet'!$E$12+1,1))-AVERAGE(OFFSET($H$3,0,0,'Données projet'!$E$12+1,1))</f>
        <v>123.60520571614535</v>
      </c>
      <c r="CE68" s="59">
        <f t="shared" si="40"/>
        <v>119.00926870519527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0.43365126735427445</v>
      </c>
      <c r="CL68" s="21">
        <f>EXP(-LN(2)/25)*CL67+(1-EXP(-LN(2)/25))/(LN(2)/25)*Calculateur!CG68*Calculateur!CI68*VLOOKUP('Données projet'!$B$12,Paramètres!$A$1:$I$89,3,0)*0.475*44/12</f>
        <v>1.810052885715371</v>
      </c>
      <c r="CM68" s="21">
        <f>EXP(-LN(2)/2)*CM67+(1-EXP(-LN(2)/2))/(LN(2)/2)*CG68*CJ68*VLOOKUP('Données projet'!$B$12,Paramètres!$A$1:$I$89,3,0)*0.475*44/12</f>
        <v>3.2982224628111308E-5</v>
      </c>
      <c r="CN68" s="22">
        <f t="shared" ref="CN68:CN131" si="66">SUM(CK68:CM68)</f>
        <v>2.2437371352942739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159.99999999999991</v>
      </c>
      <c r="CU68" s="17">
        <f>CT68*VLOOKUP('Données projet'!$B$13,Paramètres!$A$1:$I$89,3,0)*VLOOKUP('Données projet'!$B$13,Paramètres!$A$1:$I$89,5,0)</f>
        <v>167.23199999999991</v>
      </c>
      <c r="CV68" s="13">
        <f t="shared" si="41"/>
        <v>42.469492598516922</v>
      </c>
      <c r="CW68" s="20">
        <f t="shared" ref="CW68:CW131" si="67">(CU68+CV68)*0.475*44/12</f>
        <v>365.23009960908348</v>
      </c>
      <c r="CX68" s="59">
        <f t="shared" ref="CX68:CX131" si="68">CW68+(CO68+CP68)*44/12</f>
        <v>658.56343294241674</v>
      </c>
      <c r="CY68" s="59">
        <f ca="1">AVERAGE(OFFSET($CX$3,0,0,'Données projet'!$E$13+1,1))-AVERAGE(OFFSET($H$3,0,0,'Données projet'!$E$13+1,1))</f>
        <v>177.94336949486529</v>
      </c>
      <c r="CZ68" s="59">
        <f t="shared" si="42"/>
        <v>65.559373432574603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</v>
      </c>
      <c r="DO68" s="12">
        <f>IF('Données projet'!$A$166&gt;35,DO67+DN68-DW67,IF(A68&lt;'Données projet'!$A$166,$DL$205^A68,IF(A68='Données projet'!$A$166,'Données projet'!$B$166,DO67+DN68-DW67)))</f>
        <v>315.00000000000006</v>
      </c>
      <c r="DP68" s="17">
        <f>DO68*VLOOKUP('Données projet'!$B$14,Paramètres!$A$1:$I$89,3,0)*VLOOKUP('Données projet'!$B$14,Paramètres!$A$1:$I$89,5,0)</f>
        <v>188.37000000000006</v>
      </c>
      <c r="DQ68" s="13">
        <f t="shared" si="43"/>
        <v>47.179402486491298</v>
      </c>
      <c r="DR68" s="20">
        <f t="shared" ref="DR68:DR131" si="70">(DP68+DQ68)*0.475*44/12</f>
        <v>410.2485426639725</v>
      </c>
      <c r="DS68" s="59">
        <f t="shared" ref="DS68:DS131" si="71">DR68+(DJ68+DK68)*44/12</f>
        <v>703.58187599730581</v>
      </c>
      <c r="DT68" s="59">
        <f ca="1">AVERAGE(OFFSET($DS$3,0,0,'Données projet'!$E$14+1,1))-AVERAGE(OFFSET($H$3,0,0,'Données projet'!$E$14+1,1))</f>
        <v>165.39579887388538</v>
      </c>
      <c r="DU68" s="59">
        <f t="shared" si="44"/>
        <v>155.89639262545802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2.762107411362861</v>
      </c>
      <c r="EC68" s="21">
        <f>EXP(-LN(2)/2)*EC67+(1-EXP(-LN(2)/2))/(LN(2)/2)*DW68*DZ68*VLOOKUP('Données projet'!$B$14,Paramètres!$A$1:$I$89,3,0)*0.475*44/12</f>
        <v>7.4879969723485186E-5</v>
      </c>
      <c r="ED68" s="22">
        <f t="shared" ref="ED68:ED131" si="72">SUM(EA68:EC68)</f>
        <v>2.7621822913325844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15.3</v>
      </c>
      <c r="EJ68" s="12">
        <f>IF('Données projet'!$A$192&gt;35,EJ67+EI68-ER67,IF(A68&lt;'Données projet'!$A$192,$EG$205^A68,IF(A68='Données projet'!$A$192,'Données projet'!$B$192,EJ67+EI68-ER67)))</f>
        <v>546.49999999999955</v>
      </c>
      <c r="EK68" s="17">
        <f>EJ68*VLOOKUP('Données projet'!$B$15,Paramètres!$A$1:$I$89,3,0)*VLOOKUP('Données projet'!$B$15,Paramètres!$A$1:$I$89,5,0)</f>
        <v>262.8664999999998</v>
      </c>
      <c r="EL68" s="13">
        <f t="shared" si="45"/>
        <v>63.33300945221184</v>
      </c>
      <c r="EM68" s="20">
        <f t="shared" ref="EM68:EM131" si="73">(EK68+EL68)*0.475*44/12</f>
        <v>568.13081229593536</v>
      </c>
      <c r="EN68" s="59">
        <f t="shared" ref="EN68:EN131" si="74">EM68+(EE68+EF68)*44/12</f>
        <v>861.46414562926861</v>
      </c>
      <c r="EO68" s="59">
        <f ca="1">AVERAGE(OFFSET($EN$3,0,0,'Données projet'!$E$15+1,1))-AVERAGE(OFFSET($H$3,0,0,'Données projet'!$E$15+1,1))</f>
        <v>252.30925789500111</v>
      </c>
      <c r="EP68" s="59">
        <f t="shared" si="46"/>
        <v>213.96033794804805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2.3162213361310986</v>
      </c>
      <c r="EW68" s="21">
        <f>EXP(-LN(2)/25)*EW67+(1-EXP(-LN(2)/25))/(LN(2)/25)*Calculateur!ER68*Calculateur!ET68*VLOOKUP('Données projet'!$B$15,Paramètres!$A$1:$I$89,3,0)*0.475*44/12</f>
        <v>3.4969119492885214</v>
      </c>
      <c r="EX68" s="21">
        <f>EXP(-LN(2)/2)*EX67+(1-EXP(-LN(2)/2))/(LN(2)/2)*ER68*EU68*VLOOKUP('Données projet'!$B$15,Paramètres!$A$1:$I$89,3,0)*0.475*44/12</f>
        <v>7.7563896527996145E-5</v>
      </c>
      <c r="EY68" s="22">
        <f t="shared" ref="EY68:EY131" si="75">SUM(EV68:EX68)</f>
        <v>5.8132108493161478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15.3</v>
      </c>
      <c r="FE68" s="12">
        <f>IF('Données projet'!$A$218&gt;35,FE67+FD68-FM67,IF(A68&lt;'Données projet'!$A$218,$FB$205^A68,IF(A68='Données projet'!$A$218,'Données projet'!$B$218,FE67+FD68-FM67)))</f>
        <v>546.49999999999955</v>
      </c>
      <c r="FF68" s="17">
        <f>FE68*VLOOKUP('Données projet'!$B$16,Paramètres!$A$1:$I$89,3,0)*VLOOKUP('Données projet'!$B$16,Paramètres!$A$1:$I$89,5,0)</f>
        <v>262.8664999999998</v>
      </c>
      <c r="FG68" s="13">
        <f t="shared" si="47"/>
        <v>63.33300945221184</v>
      </c>
      <c r="FH68" s="20">
        <f t="shared" ref="FH68:FH131" si="76">(FF68+FG68)*0.475*44/12</f>
        <v>568.13081229593536</v>
      </c>
      <c r="FI68" s="59">
        <f t="shared" ref="FI68:FI131" si="77">FH68+(EZ68+FA68)*44/12</f>
        <v>861.46414562926861</v>
      </c>
      <c r="FJ68" s="59">
        <f ca="1">AVERAGE(OFFSET($FI$3,0,0,'Données projet'!$E$16+1,1))-AVERAGE(OFFSET($H$3,0,0,'Données projet'!$E$16+1,1))</f>
        <v>252.30925789500111</v>
      </c>
      <c r="FK68" s="59">
        <f t="shared" si="48"/>
        <v>213.96033794804805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2.3162213361310986</v>
      </c>
      <c r="FR68" s="21">
        <f>EXP(-LN(2)/25)*FR67+(1-EXP(-LN(2)/25))/(LN(2)/25)*Calculateur!FM68*Calculateur!FO68*VLOOKUP('Données projet'!$B$16,Paramètres!$A$1:$I$89,3,0)*0.475*44/12</f>
        <v>3.4969119492885214</v>
      </c>
      <c r="FS68" s="21">
        <f>EXP(-LN(2)/2)*FS67+(1-EXP(-LN(2)/2))/(LN(2)/2)*FM68*FP68*VLOOKUP('Données projet'!$B$16,Paramètres!$A$1:$I$89,3,0)*0.475*44/12</f>
        <v>7.7563896527996145E-5</v>
      </c>
      <c r="FT68" s="22">
        <f t="shared" ref="FT68:FT131" si="78">SUM(FQ68:FS68)</f>
        <v>5.8132108493161478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>
        <f>FZ68*VLOOKUP('Données projet'!$B$17,Paramètres!$A$1:$I$89,3,0)*VLOOKUP('Données projet'!$B$17,Paramètres!$A$1:$I$89,5,0)</f>
        <v>0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117.54638373164624</v>
      </c>
      <c r="GF68" s="59">
        <f t="shared" si="50"/>
        <v>133.0740262536583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1.1061493415644388</v>
      </c>
      <c r="GM68" s="21">
        <f>EXP(-LN(2)/25)*GM67+(1-EXP(-LN(2)/25))/(LN(2)/25)*Calculateur!GH68*Calculateur!GJ68*VLOOKUP('Données projet'!$B$17,Paramètres!$A$1:$I$89,3,0)*0.475*44/12</f>
        <v>3.2798549869301654</v>
      </c>
      <c r="GN68" s="21">
        <f>EXP(-LN(2)/2)*GN67+(1-EXP(-LN(2)/2))/(LN(2)/2)*GH68*GK68*VLOOKUP('Données projet'!$B$17,Paramètres!$A$1:$I$89,3,0)*0.475*44/12</f>
        <v>2.1824771663308484E-5</v>
      </c>
      <c r="GO68" s="21">
        <f t="shared" ref="GO68:GO131" si="81">SUM(GL68:GN68)</f>
        <v>4.3860261532662674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2.8421709430404007E-14</v>
      </c>
      <c r="GV68" s="17">
        <f>GU68*VLOOKUP('Données projet'!$B$18,Paramètres!$A$1:$I$89,3,0)*VLOOKUP('Données projet'!$B$18,Paramètres!$A$1:$I$89,5,0)</f>
        <v>1.3567387213697657E-14</v>
      </c>
      <c r="GW68" s="13">
        <f t="shared" si="51"/>
        <v>2.5717320947985821E-13</v>
      </c>
      <c r="GX68" s="20">
        <f t="shared" ref="GX68:GX131" si="82">(GV68+GW68)*0.475*44/12</f>
        <v>4.7153987257460977E-13</v>
      </c>
      <c r="GY68" s="59">
        <f t="shared" ref="GY68:GY131" si="83">GX68+(GP68+GQ68)*44/12</f>
        <v>293.33333333333377</v>
      </c>
      <c r="GZ68" s="59">
        <f ca="1">AVERAGE(OFFSET($GY$3,0,0,'Données projet'!$E$18+1,1))-AVERAGE(OFFSET($H$3,0,0,'Données projet'!$E$18+1,1))</f>
        <v>43.147469606759159</v>
      </c>
      <c r="HA68" s="59">
        <f t="shared" si="52"/>
        <v>147.46995307968473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18.031025383055006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2.9735010670656605E-6</v>
      </c>
      <c r="HJ68" s="22">
        <f t="shared" ref="HJ68:HJ131" si="84">SUM(HG68:HI68)</f>
        <v>18.031028356556074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165.1999999999999</v>
      </c>
      <c r="O69" s="13">
        <f>N69*VLOOKUP('Données projet'!$B$9,Paramètres!$A$1:$I$89,3,0)*VLOOKUP('Données projet'!$B$9,Paramètres!$A$1:$I$89,5,0)</f>
        <v>149.47295999999989</v>
      </c>
      <c r="P69" s="13">
        <f t="shared" ref="P69:P132" si="87">EXP(-1.0587+0.8836*LN(O69)+0.284)</f>
        <v>38.458789365254951</v>
      </c>
      <c r="Q69" s="20">
        <f t="shared" si="54"/>
        <v>327.31446347781883</v>
      </c>
      <c r="R69" s="59">
        <f t="shared" si="55"/>
        <v>620.64779681115215</v>
      </c>
      <c r="S69" s="59">
        <f ca="1">AVERAGE(OFFSET($R$3,0,0,'Données projet'!$E$9+1,1))-AVERAGE(OFFSET($H$3,0,0,'Données projet'!$E$9+1,1))</f>
        <v>138.8931001150624</v>
      </c>
      <c r="T69" s="59">
        <f t="shared" ref="T69:T132" si="88">$T$3</f>
        <v>48.964659354096625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4.3</v>
      </c>
      <c r="AI69" s="13">
        <f>IF('Données projet'!$A$62&gt;35,AI68+AH69-AQ68,IF(A69&lt;'Données projet'!$A$62,$AF$205^A69,IF(A69='Données projet'!$A$62,'Données projet'!$B$62,AI68+AH69-AQ68)))</f>
        <v>205.79999999999976</v>
      </c>
      <c r="AJ69" s="13">
        <f>AI69*VLOOKUP('Données projet'!$B$10,Paramètres!$A$1:$I$89,3,0)*VLOOKUP('Données projet'!$B$10,Paramètres!$A$1:$I$89,5,0)</f>
        <v>179.78687999999983</v>
      </c>
      <c r="AK69" s="13">
        <f t="shared" ref="AK69:AK132" si="89">EXP(-1.0587+0.8836*LN(AJ69)+0.284)</f>
        <v>45.274767624296899</v>
      </c>
      <c r="AL69" s="20">
        <f t="shared" si="58"/>
        <v>391.98236961231675</v>
      </c>
      <c r="AM69" s="59">
        <f t="shared" si="59"/>
        <v>685.31570294565006</v>
      </c>
      <c r="AN69" s="59">
        <f ca="1">AVERAGE(OFFSET($AM$3,0,0,'Données projet'!$E$10+1,1))-AVERAGE(OFFSET($H$3,0,0,'Données projet'!$E$10+1,1))</f>
        <v>191.94797389630673</v>
      </c>
      <c r="AO69" s="59">
        <f t="shared" ref="AO69:AO132" si="90">$AO$3</f>
        <v>273.52540822767878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5.177689162617817</v>
      </c>
      <c r="AW69" s="21">
        <f>EXP(-LN(2)/2)*AW68+(1-EXP(-LN(2)/2))/(LN(2)/2)*AQ69*AT69*VLOOKUP('Données projet'!$B$10,Paramètres!$A$1:$I$89,3,0)*0.475*44/12</f>
        <v>8.8512660673787592E-5</v>
      </c>
      <c r="AX69" s="21">
        <f t="shared" si="60"/>
        <v>6.4398639045697914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5.6</v>
      </c>
      <c r="BD69" s="12">
        <f>IF('Données projet'!$A$88&gt;35,BD68+BC69-BL68,IF(A69&lt;'Données projet'!$A$88,$BA$205^A69,IF(A69='Données projet'!$A$88,'Données projet'!$B$88,BD68+BC69-BL68)))</f>
        <v>291.60000000000008</v>
      </c>
      <c r="BE69" s="13">
        <f>BD69*VLOOKUP('Données projet'!$B$11,Paramètres!$A$1:$I$89,3,0)*VLOOKUP('Données projet'!$B$11,Paramètres!$A$1:$I$89,5,0)</f>
        <v>181.95840000000007</v>
      </c>
      <c r="BF69" s="13">
        <f t="shared" ref="BF69:BF132" si="91">EXP(-1.0587+0.8836*LN(BE69)+0.284)</f>
        <v>45.757619298628008</v>
      </c>
      <c r="BG69" s="20">
        <f t="shared" si="61"/>
        <v>396.60540027844394</v>
      </c>
      <c r="BH69" s="59">
        <f t="shared" si="62"/>
        <v>689.93873361177725</v>
      </c>
      <c r="BI69" s="59">
        <f ca="1">AVERAGE(OFFSET($BH$3,0,0,'Données projet'!$E$11+1,1))-AVERAGE(OFFSET($H$3,0,0,'Données projet'!$E$11+1,1))</f>
        <v>162.91481796710048</v>
      </c>
      <c r="BJ69" s="59">
        <f t="shared" ref="BJ69:BJ132" si="92">$BJ$3</f>
        <v>182.56192390367823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1.3633939761286362</v>
      </c>
      <c r="BQ69" s="21">
        <f>EXP(-LN(2)/25)*BQ68+(1-EXP(-LN(2)/25))/(LN(2)/25)*Calculateur!BL69*Calculateur!BN69*VLOOKUP('Données projet'!$B$11,Paramètres!$A$1:$I$89,3,0)*0.475*44/12</f>
        <v>5.6311915981698926</v>
      </c>
      <c r="BR69" s="21">
        <f>EXP(-LN(2)/2)*BR68+(1-EXP(-LN(2)/2))/(LN(2)/2)*BL69*BO69*VLOOKUP('Données projet'!$B$11,Paramètres!$A$1:$I$89,3,0)*0.475*44/12</f>
        <v>6.8549024222020803E-5</v>
      </c>
      <c r="BS69" s="22">
        <f t="shared" si="63"/>
        <v>6.9946541233227508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7.5</v>
      </c>
      <c r="BY69" s="12">
        <f>IF('Données projet'!$A$114&gt;35,BY68+BX69-CG68,IF(A69&lt;'Données projet'!$A$114,$BV$205^A69,IF(A69='Données projet'!$A$114,'Données projet'!$B$114,BY68+BX69-CG68)))</f>
        <v>273.79999999999995</v>
      </c>
      <c r="BZ69" s="13">
        <f>BY69*VLOOKUP('Données projet'!$B$12,Paramètres!$A$1:$I$89,3,0)*VLOOKUP('Données projet'!$B$12,Paramètres!$A$1:$I$89,5,0)</f>
        <v>128.13839999999999</v>
      </c>
      <c r="CA69" s="13">
        <f t="shared" ref="CA69:CA132" si="93">EXP(-1.0587+0.8836*LN(BZ69)+0.284)</f>
        <v>33.565837798615647</v>
      </c>
      <c r="CB69" s="20">
        <f t="shared" si="64"/>
        <v>281.63488083258886</v>
      </c>
      <c r="CC69" s="59">
        <f t="shared" si="65"/>
        <v>574.96821416592218</v>
      </c>
      <c r="CD69" s="59">
        <f ca="1">AVERAGE(OFFSET($CC$3,0,0,'Données projet'!$E$12+1,1))-AVERAGE(OFFSET($H$3,0,0,'Données projet'!$E$12+1,1))</f>
        <v>123.60520571614535</v>
      </c>
      <c r="CE69" s="59">
        <f t="shared" ref="CE69:CE132" si="94">$CE$3</f>
        <v>119.00926870519527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0.42514763050261289</v>
      </c>
      <c r="CL69" s="21">
        <f>EXP(-LN(2)/25)*CL68+(1-EXP(-LN(2)/25))/(LN(2)/25)*Calculateur!CG69*Calculateur!CI69*VLOOKUP('Données projet'!$B$12,Paramètres!$A$1:$I$89,3,0)*0.475*44/12</f>
        <v>1.7605568943689398</v>
      </c>
      <c r="CM69" s="21">
        <f>EXP(-LN(2)/2)*CM68+(1-EXP(-LN(2)/2))/(LN(2)/2)*CG69*CJ69*VLOOKUP('Données projet'!$B$12,Paramètres!$A$1:$I$89,3,0)*0.475*44/12</f>
        <v>2.3321954693155462E-5</v>
      </c>
      <c r="CN69" s="22">
        <f t="shared" si="66"/>
        <v>2.185727846826246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165.1999999999999</v>
      </c>
      <c r="CU69" s="17">
        <f>CT69*VLOOKUP('Données projet'!$B$13,Paramètres!$A$1:$I$89,3,0)*VLOOKUP('Données projet'!$B$13,Paramètres!$A$1:$I$89,5,0)</f>
        <v>172.6670399999999</v>
      </c>
      <c r="CV69" s="13">
        <f t="shared" ref="CV69:CV132" si="95">EXP(-1.0587+0.8836*LN(CU69)+0.284)</f>
        <v>43.686809580601015</v>
      </c>
      <c r="CW69" s="20">
        <f t="shared" si="67"/>
        <v>376.81628801954662</v>
      </c>
      <c r="CX69" s="59">
        <f t="shared" si="68"/>
        <v>670.14962135287988</v>
      </c>
      <c r="CY69" s="59">
        <f ca="1">AVERAGE(OFFSET($CX$3,0,0,'Données projet'!$E$13+1,1))-AVERAGE(OFFSET($H$3,0,0,'Données projet'!$E$13+1,1))</f>
        <v>177.94336949486529</v>
      </c>
      <c r="CZ69" s="59">
        <f t="shared" ref="CZ69:CZ132" si="96">$CZ$3</f>
        <v>65.559373432574603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</v>
      </c>
      <c r="DO69" s="12">
        <f>IF('Données projet'!$A$166&gt;35,DO68+DN69-DW68,IF(A69&lt;'Données projet'!$A$166,$DL$205^A69,IF(A69='Données projet'!$A$166,'Données projet'!$B$166,DO68+DN69-DW68)))</f>
        <v>323.00000000000006</v>
      </c>
      <c r="DP69" s="17">
        <f>DO69*VLOOKUP('Données projet'!$B$14,Paramètres!$A$1:$I$89,3,0)*VLOOKUP('Données projet'!$B$14,Paramètres!$A$1:$I$89,5,0)</f>
        <v>193.15400000000005</v>
      </c>
      <c r="DQ69" s="13">
        <f t="shared" ref="DQ69:DQ132" si="97">EXP(-1.0587+0.8836*LN(DP69)+0.284)</f>
        <v>48.236587915544618</v>
      </c>
      <c r="DR69" s="20">
        <f t="shared" si="70"/>
        <v>420.42194061957366</v>
      </c>
      <c r="DS69" s="59">
        <f t="shared" si="71"/>
        <v>713.75527395290692</v>
      </c>
      <c r="DT69" s="59">
        <f ca="1">AVERAGE(OFFSET($DS$3,0,0,'Données projet'!$E$14+1,1))-AVERAGE(OFFSET($H$3,0,0,'Données projet'!$E$14+1,1))</f>
        <v>165.39579887388538</v>
      </c>
      <c r="DU69" s="59">
        <f t="shared" ref="DU69:DU132" si="98">$DU$3</f>
        <v>155.89639262545802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2.6865774389462276</v>
      </c>
      <c r="EC69" s="21">
        <f>EXP(-LN(2)/2)*EC68+(1-EXP(-LN(2)/2))/(LN(2)/2)*DW69*DZ69*VLOOKUP('Données projet'!$B$14,Paramètres!$A$1:$I$89,3,0)*0.475*44/12</f>
        <v>5.2948134366519744E-5</v>
      </c>
      <c r="ED69" s="22">
        <f t="shared" si="72"/>
        <v>2.6866303870805943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15.3</v>
      </c>
      <c r="EJ69" s="12">
        <f>IF('Données projet'!$A$192&gt;35,EJ68+EI69-ER68,IF(A69&lt;'Données projet'!$A$192,$EG$205^A69,IF(A69='Données projet'!$A$192,'Données projet'!$B$192,EJ68+EI69-ER68)))</f>
        <v>561.7999999999995</v>
      </c>
      <c r="EK69" s="17">
        <f>EJ69*VLOOKUP('Données projet'!$B$15,Paramètres!$A$1:$I$89,3,0)*VLOOKUP('Données projet'!$B$15,Paramètres!$A$1:$I$89,5,0)</f>
        <v>270.22579999999977</v>
      </c>
      <c r="EL69" s="13">
        <f t="shared" ref="EL69:EL132" si="99">EXP(-1.0587+0.8836*LN(EK69)+0.284)</f>
        <v>64.897187414967973</v>
      </c>
      <c r="EM69" s="20">
        <f t="shared" si="73"/>
        <v>583.67253641440209</v>
      </c>
      <c r="EN69" s="59">
        <f t="shared" si="74"/>
        <v>877.00586974773546</v>
      </c>
      <c r="EO69" s="59">
        <f ca="1">AVERAGE(OFFSET($EN$3,0,0,'Données projet'!$E$15+1,1))-AVERAGE(OFFSET($H$3,0,0,'Données projet'!$E$15+1,1))</f>
        <v>252.30925789500111</v>
      </c>
      <c r="EP69" s="59">
        <f t="shared" ref="EP69:EP132" si="100">$EP$3</f>
        <v>213.96033794804805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2.2708016484850848</v>
      </c>
      <c r="EW69" s="21">
        <f>EXP(-LN(2)/25)*EW68+(1-EXP(-LN(2)/25))/(LN(2)/25)*Calculateur!ER69*Calculateur!ET69*VLOOKUP('Données projet'!$B$15,Paramètres!$A$1:$I$89,3,0)*0.475*44/12</f>
        <v>3.4012887081406196</v>
      </c>
      <c r="EX69" s="21">
        <f>EXP(-LN(2)/2)*EX68+(1-EXP(-LN(2)/2))/(LN(2)/2)*ER69*EU69*VLOOKUP('Données projet'!$B$15,Paramètres!$A$1:$I$89,3,0)*0.475*44/12</f>
        <v>5.4845957210197784E-5</v>
      </c>
      <c r="EY69" s="22">
        <f t="shared" si="75"/>
        <v>5.6721452025829144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15.3</v>
      </c>
      <c r="FE69" s="12">
        <f>IF('Données projet'!$A$218&gt;35,FE68+FD69-FM68,IF(A69&lt;'Données projet'!$A$218,$FB$205^A69,IF(A69='Données projet'!$A$218,'Données projet'!$B$218,FE68+FD69-FM68)))</f>
        <v>561.7999999999995</v>
      </c>
      <c r="FF69" s="17">
        <f>FE69*VLOOKUP('Données projet'!$B$16,Paramètres!$A$1:$I$89,3,0)*VLOOKUP('Données projet'!$B$16,Paramètres!$A$1:$I$89,5,0)</f>
        <v>270.22579999999977</v>
      </c>
      <c r="FG69" s="13">
        <f t="shared" ref="FG69:FG132" si="101">EXP(-1.0587+0.8836*LN(FF69)+0.284)</f>
        <v>64.897187414967973</v>
      </c>
      <c r="FH69" s="20">
        <f t="shared" si="76"/>
        <v>583.67253641440209</v>
      </c>
      <c r="FI69" s="59">
        <f t="shared" si="77"/>
        <v>877.00586974773546</v>
      </c>
      <c r="FJ69" s="59">
        <f ca="1">AVERAGE(OFFSET($FI$3,0,0,'Données projet'!$E$16+1,1))-AVERAGE(OFFSET($H$3,0,0,'Données projet'!$E$16+1,1))</f>
        <v>252.30925789500111</v>
      </c>
      <c r="FK69" s="59">
        <f t="shared" ref="FK69:FK132" si="102">$FK$3</f>
        <v>213.96033794804805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2.2708016484850848</v>
      </c>
      <c r="FR69" s="21">
        <f>EXP(-LN(2)/25)*FR68+(1-EXP(-LN(2)/25))/(LN(2)/25)*Calculateur!FM69*Calculateur!FO69*VLOOKUP('Données projet'!$B$16,Paramètres!$A$1:$I$89,3,0)*0.475*44/12</f>
        <v>3.4012887081406196</v>
      </c>
      <c r="FS69" s="21">
        <f>EXP(-LN(2)/2)*FS68+(1-EXP(-LN(2)/2))/(LN(2)/2)*FM69*FP69*VLOOKUP('Données projet'!$B$16,Paramètres!$A$1:$I$89,3,0)*0.475*44/12</f>
        <v>5.4845957210197784E-5</v>
      </c>
      <c r="FT69" s="22">
        <f t="shared" si="78"/>
        <v>5.6721452025829144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>
        <f>FZ69*VLOOKUP('Données projet'!$B$17,Paramètres!$A$1:$I$89,3,0)*VLOOKUP('Données projet'!$B$17,Paramètres!$A$1:$I$89,5,0)</f>
        <v>0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117.54638373164624</v>
      </c>
      <c r="GF69" s="59">
        <f t="shared" ref="GF69:GF132" si="104">$GF$3</f>
        <v>133.0740262536583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1.0844584276608389</v>
      </c>
      <c r="GM69" s="21">
        <f>EXP(-LN(2)/25)*GM68+(1-EXP(-LN(2)/25))/(LN(2)/25)*Calculateur!GH69*Calculateur!GJ69*VLOOKUP('Données projet'!$B$17,Paramètres!$A$1:$I$89,3,0)*0.475*44/12</f>
        <v>3.1901671798324824</v>
      </c>
      <c r="GN69" s="21">
        <f>EXP(-LN(2)/2)*GN68+(1-EXP(-LN(2)/2))/(LN(2)/2)*GH69*GK69*VLOOKUP('Données projet'!$B$17,Paramètres!$A$1:$I$89,3,0)*0.475*44/12</f>
        <v>1.5432444040973435E-5</v>
      </c>
      <c r="GO69" s="21">
        <f t="shared" si="81"/>
        <v>4.2746410399373627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2.8421709430404007E-14</v>
      </c>
      <c r="GV69" s="17">
        <f>GU69*VLOOKUP('Données projet'!$B$18,Paramètres!$A$1:$I$89,3,0)*VLOOKUP('Données projet'!$B$18,Paramètres!$A$1:$I$89,5,0)</f>
        <v>1.3567387213697657E-14</v>
      </c>
      <c r="GW69" s="13">
        <f t="shared" ref="GW69:GW132" si="105">EXP(-1.0587+0.8836*LN(GV69)+0.284)</f>
        <v>2.5717320947985821E-13</v>
      </c>
      <c r="GX69" s="20">
        <f t="shared" si="82"/>
        <v>4.7153987257460977E-13</v>
      </c>
      <c r="GY69" s="59">
        <f t="shared" si="83"/>
        <v>293.33333333333377</v>
      </c>
      <c r="GZ69" s="59">
        <f ca="1">AVERAGE(OFFSET($GY$3,0,0,'Données projet'!$E$18+1,1))-AVERAGE(OFFSET($H$3,0,0,'Données projet'!$E$18+1,1))</f>
        <v>43.147469606759159</v>
      </c>
      <c r="HA69" s="59">
        <f t="shared" ref="HA69:HA132" si="106">$HA$3</f>
        <v>147.46995307968473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17.677447973132836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2.1025827683875635E-6</v>
      </c>
      <c r="HJ69" s="22">
        <f t="shared" si="84"/>
        <v>17.677450075715605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170.39999999999989</v>
      </c>
      <c r="O70" s="13">
        <f>N70*VLOOKUP('Données projet'!$B$9,Paramètres!$A$1:$I$89,3,0)*VLOOKUP('Données projet'!$B$9,Paramètres!$A$1:$I$89,5,0)</f>
        <v>154.17791999999992</v>
      </c>
      <c r="P70" s="13">
        <f t="shared" si="87"/>
        <v>39.526509568829233</v>
      </c>
      <c r="Q70" s="20">
        <f t="shared" si="54"/>
        <v>337.36854816571076</v>
      </c>
      <c r="R70" s="59">
        <f t="shared" si="55"/>
        <v>630.70188149904402</v>
      </c>
      <c r="S70" s="59">
        <f ca="1">AVERAGE(OFFSET($R$3,0,0,'Données projet'!$E$9+1,1))-AVERAGE(OFFSET($H$3,0,0,'Données projet'!$E$9+1,1))</f>
        <v>138.8931001150624</v>
      </c>
      <c r="T70" s="59">
        <f t="shared" si="88"/>
        <v>48.964659354096625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4.3</v>
      </c>
      <c r="AI70" s="13">
        <f>IF('Données projet'!$A$62&gt;35,AI69+AH70-AQ69,IF(A70&lt;'Données projet'!$A$62,$AF$205^A70,IF(A70='Données projet'!$A$62,'Données projet'!$B$62,AI69+AH70-AQ69)))</f>
        <v>210.09999999999977</v>
      </c>
      <c r="AJ70" s="13">
        <f>AI70*VLOOKUP('Données projet'!$B$10,Paramètres!$A$1:$I$89,3,0)*VLOOKUP('Données projet'!$B$10,Paramètres!$A$1:$I$89,5,0)</f>
        <v>183.54335999999981</v>
      </c>
      <c r="AK70" s="13">
        <f t="shared" si="89"/>
        <v>46.109621850655671</v>
      </c>
      <c r="AL70" s="20">
        <f t="shared" si="58"/>
        <v>399.97894338989158</v>
      </c>
      <c r="AM70" s="59">
        <f t="shared" si="59"/>
        <v>693.31227672322484</v>
      </c>
      <c r="AN70" s="59">
        <f ca="1">AVERAGE(OFFSET($AM$3,0,0,'Données projet'!$E$10+1,1))-AVERAGE(OFFSET($H$3,0,0,'Données projet'!$E$10+1,1))</f>
        <v>191.94797389630673</v>
      </c>
      <c r="AO70" s="59">
        <f t="shared" si="90"/>
        <v>273.52540822767878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5.0361049801831932</v>
      </c>
      <c r="AW70" s="21">
        <f>EXP(-LN(2)/2)*AW69+(1-EXP(-LN(2)/2))/(LN(2)/2)*AQ70*AT70*VLOOKUP('Données projet'!$B$10,Paramètres!$A$1:$I$89,3,0)*0.475*44/12</f>
        <v>6.2587902583299051E-5</v>
      </c>
      <c r="AX70" s="21">
        <f t="shared" si="60"/>
        <v>6.2735050562172638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5.6</v>
      </c>
      <c r="BD70" s="12">
        <f>IF('Données projet'!$A$88&gt;35,BD69+BC70-BL69,IF(A70&lt;'Données projet'!$A$88,$BA$205^A70,IF(A70='Données projet'!$A$88,'Données projet'!$B$88,BD69+BC70-BL69)))</f>
        <v>297.2000000000001</v>
      </c>
      <c r="BE70" s="13">
        <f>BD70*VLOOKUP('Données projet'!$B$11,Paramètres!$A$1:$I$89,3,0)*VLOOKUP('Données projet'!$B$11,Paramètres!$A$1:$I$89,5,0)</f>
        <v>185.45280000000005</v>
      </c>
      <c r="BF70" s="13">
        <f t="shared" si="91"/>
        <v>46.533218570690686</v>
      </c>
      <c r="BG70" s="20">
        <f t="shared" si="61"/>
        <v>404.04231567728635</v>
      </c>
      <c r="BH70" s="59">
        <f t="shared" si="62"/>
        <v>697.37564901061967</v>
      </c>
      <c r="BI70" s="59">
        <f ca="1">AVERAGE(OFFSET($BH$3,0,0,'Données projet'!$E$11+1,1))-AVERAGE(OFFSET($H$3,0,0,'Données projet'!$E$11+1,1))</f>
        <v>162.91481796710048</v>
      </c>
      <c r="BJ70" s="59">
        <f t="shared" si="92"/>
        <v>182.56192390367823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1.3366586518449666</v>
      </c>
      <c r="BQ70" s="21">
        <f>EXP(-LN(2)/25)*BQ69+(1-EXP(-LN(2)/25))/(LN(2)/25)*Calculateur!BL70*Calculateur!BN70*VLOOKUP('Données projet'!$B$11,Paramètres!$A$1:$I$89,3,0)*0.475*44/12</f>
        <v>5.4772063677864411</v>
      </c>
      <c r="BR70" s="21">
        <f>EXP(-LN(2)/2)*BR69+(1-EXP(-LN(2)/2))/(LN(2)/2)*BL70*BO70*VLOOKUP('Données projet'!$B$11,Paramètres!$A$1:$I$89,3,0)*0.475*44/12</f>
        <v>4.8471479871111811E-5</v>
      </c>
      <c r="BS70" s="22">
        <f t="shared" si="63"/>
        <v>6.8139134911112782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7.5</v>
      </c>
      <c r="BY70" s="12">
        <f>IF('Données projet'!$A$114&gt;35,BY69+BX70-CG69,IF(A70&lt;'Données projet'!$A$114,$BV$205^A70,IF(A70='Données projet'!$A$114,'Données projet'!$B$114,BY69+BX70-CG69)))</f>
        <v>281.29999999999995</v>
      </c>
      <c r="BZ70" s="13">
        <f>BY70*VLOOKUP('Données projet'!$B$12,Paramètres!$A$1:$I$89,3,0)*VLOOKUP('Données projet'!$B$12,Paramètres!$A$1:$I$89,5,0)</f>
        <v>131.64839999999998</v>
      </c>
      <c r="CA70" s="13">
        <f t="shared" si="93"/>
        <v>34.376976398956401</v>
      </c>
      <c r="CB70" s="20">
        <f t="shared" si="64"/>
        <v>289.160863894849</v>
      </c>
      <c r="CC70" s="59">
        <f t="shared" si="65"/>
        <v>582.49419722818232</v>
      </c>
      <c r="CD70" s="59">
        <f ca="1">AVERAGE(OFFSET($CC$3,0,0,'Données projet'!$E$12+1,1))-AVERAGE(OFFSET($H$3,0,0,'Données projet'!$E$12+1,1))</f>
        <v>123.60520571614535</v>
      </c>
      <c r="CE70" s="59">
        <f t="shared" si="94"/>
        <v>119.00926870519527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0.41681074478290608</v>
      </c>
      <c r="CL70" s="21">
        <f>EXP(-LN(2)/25)*CL69+(1-EXP(-LN(2)/25))/(LN(2)/25)*Calculateur!CG70*Calculateur!CI70*VLOOKUP('Données projet'!$B$12,Paramètres!$A$1:$I$89,3,0)*0.475*44/12</f>
        <v>1.7124143735087578</v>
      </c>
      <c r="CM70" s="21">
        <f>EXP(-LN(2)/2)*CM69+(1-EXP(-LN(2)/2))/(LN(2)/2)*CG70*CJ70*VLOOKUP('Données projet'!$B$12,Paramètres!$A$1:$I$89,3,0)*0.475*44/12</f>
        <v>1.6491112314055654E-5</v>
      </c>
      <c r="CN70" s="22">
        <f t="shared" si="66"/>
        <v>2.1292416094039779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170.39999999999989</v>
      </c>
      <c r="CU70" s="17">
        <f>CT70*VLOOKUP('Données projet'!$B$13,Paramètres!$A$1:$I$89,3,0)*VLOOKUP('Données projet'!$B$13,Paramètres!$A$1:$I$89,5,0)</f>
        <v>178.10207999999992</v>
      </c>
      <c r="CV70" s="13">
        <f t="shared" si="95"/>
        <v>44.899673791585542</v>
      </c>
      <c r="CW70" s="20">
        <f t="shared" si="67"/>
        <v>388.39472118701133</v>
      </c>
      <c r="CX70" s="59">
        <f t="shared" si="68"/>
        <v>681.72805452034459</v>
      </c>
      <c r="CY70" s="59">
        <f ca="1">AVERAGE(OFFSET($CX$3,0,0,'Données projet'!$E$13+1,1))-AVERAGE(OFFSET($H$3,0,0,'Données projet'!$E$13+1,1))</f>
        <v>177.94336949486529</v>
      </c>
      <c r="CZ70" s="59">
        <f t="shared" si="96"/>
        <v>65.559373432574603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</v>
      </c>
      <c r="DO70" s="12">
        <f>IF('Données projet'!$A$166&gt;35,DO69+DN70-DW69,IF(A70&lt;'Données projet'!$A$166,$DL$205^A70,IF(A70='Données projet'!$A$166,'Données projet'!$B$166,DO69+DN70-DW69)))</f>
        <v>331.00000000000006</v>
      </c>
      <c r="DP70" s="17">
        <f>DO70*VLOOKUP('Données projet'!$B$14,Paramètres!$A$1:$I$89,3,0)*VLOOKUP('Données projet'!$B$14,Paramètres!$A$1:$I$89,5,0)</f>
        <v>197.93800000000005</v>
      </c>
      <c r="DQ70" s="13">
        <f t="shared" si="97"/>
        <v>49.290729568773614</v>
      </c>
      <c r="DR70" s="20">
        <f t="shared" si="70"/>
        <v>430.5900373322807</v>
      </c>
      <c r="DS70" s="59">
        <f t="shared" si="71"/>
        <v>723.92337066561402</v>
      </c>
      <c r="DT70" s="59">
        <f ca="1">AVERAGE(OFFSET($DS$3,0,0,'Données projet'!$E$14+1,1))-AVERAGE(OFFSET($H$3,0,0,'Données projet'!$E$14+1,1))</f>
        <v>165.39579887388538</v>
      </c>
      <c r="DU70" s="59">
        <f t="shared" si="98"/>
        <v>155.89639262545802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2.6131128375972756</v>
      </c>
      <c r="EC70" s="21">
        <f>EXP(-LN(2)/2)*EC69+(1-EXP(-LN(2)/2))/(LN(2)/2)*DW70*DZ70*VLOOKUP('Données projet'!$B$14,Paramètres!$A$1:$I$89,3,0)*0.475*44/12</f>
        <v>3.7439984861742593E-5</v>
      </c>
      <c r="ED70" s="22">
        <f t="shared" si="72"/>
        <v>2.6131502775821374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15.3</v>
      </c>
      <c r="EJ70" s="12">
        <f>IF('Données projet'!$A$192&gt;35,EJ69+EI70-ER69,IF(A70&lt;'Données projet'!$A$192,$EG$205^A70,IF(A70='Données projet'!$A$192,'Données projet'!$B$192,EJ69+EI70-ER69)))</f>
        <v>577.09999999999945</v>
      </c>
      <c r="EK70" s="17">
        <f>EJ70*VLOOKUP('Données projet'!$B$15,Paramètres!$A$1:$I$89,3,0)*VLOOKUP('Données projet'!$B$15,Paramètres!$A$1:$I$89,5,0)</f>
        <v>277.58509999999973</v>
      </c>
      <c r="EL70" s="13">
        <f t="shared" si="99"/>
        <v>66.45641409880281</v>
      </c>
      <c r="EM70" s="20">
        <f t="shared" si="73"/>
        <v>599.2056370554144</v>
      </c>
      <c r="EN70" s="59">
        <f t="shared" si="74"/>
        <v>892.53897038874766</v>
      </c>
      <c r="EO70" s="59">
        <f ca="1">AVERAGE(OFFSET($EN$3,0,0,'Données projet'!$E$15+1,1))-AVERAGE(OFFSET($H$3,0,0,'Données projet'!$E$15+1,1))</f>
        <v>252.30925789500111</v>
      </c>
      <c r="EP70" s="59">
        <f t="shared" si="100"/>
        <v>213.96033794804805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2.2262726132105355</v>
      </c>
      <c r="EW70" s="21">
        <f>EXP(-LN(2)/25)*EW69+(1-EXP(-LN(2)/25))/(LN(2)/25)*Calculateur!ER70*Calculateur!ET70*VLOOKUP('Données projet'!$B$15,Paramètres!$A$1:$I$89,3,0)*0.475*44/12</f>
        <v>3.308280289550515</v>
      </c>
      <c r="EX70" s="21">
        <f>EXP(-LN(2)/2)*EX69+(1-EXP(-LN(2)/2))/(LN(2)/2)*ER70*EU70*VLOOKUP('Données projet'!$B$15,Paramètres!$A$1:$I$89,3,0)*0.475*44/12</f>
        <v>3.8781948263998072E-5</v>
      </c>
      <c r="EY70" s="22">
        <f t="shared" si="75"/>
        <v>5.5345916847093148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15.3</v>
      </c>
      <c r="FE70" s="12">
        <f>IF('Données projet'!$A$218&gt;35,FE69+FD70-FM69,IF(A70&lt;'Données projet'!$A$218,$FB$205^A70,IF(A70='Données projet'!$A$218,'Données projet'!$B$218,FE69+FD70-FM69)))</f>
        <v>577.09999999999945</v>
      </c>
      <c r="FF70" s="17">
        <f>FE70*VLOOKUP('Données projet'!$B$16,Paramètres!$A$1:$I$89,3,0)*VLOOKUP('Données projet'!$B$16,Paramètres!$A$1:$I$89,5,0)</f>
        <v>277.58509999999973</v>
      </c>
      <c r="FG70" s="13">
        <f t="shared" si="101"/>
        <v>66.45641409880281</v>
      </c>
      <c r="FH70" s="20">
        <f t="shared" si="76"/>
        <v>599.2056370554144</v>
      </c>
      <c r="FI70" s="59">
        <f t="shared" si="77"/>
        <v>892.53897038874766</v>
      </c>
      <c r="FJ70" s="59">
        <f ca="1">AVERAGE(OFFSET($FI$3,0,0,'Données projet'!$E$16+1,1))-AVERAGE(OFFSET($H$3,0,0,'Données projet'!$E$16+1,1))</f>
        <v>252.30925789500111</v>
      </c>
      <c r="FK70" s="59">
        <f t="shared" si="102"/>
        <v>213.96033794804805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2.2262726132105355</v>
      </c>
      <c r="FR70" s="21">
        <f>EXP(-LN(2)/25)*FR69+(1-EXP(-LN(2)/25))/(LN(2)/25)*Calculateur!FM70*Calculateur!FO70*VLOOKUP('Données projet'!$B$16,Paramètres!$A$1:$I$89,3,0)*0.475*44/12</f>
        <v>3.308280289550515</v>
      </c>
      <c r="FS70" s="21">
        <f>EXP(-LN(2)/2)*FS69+(1-EXP(-LN(2)/2))/(LN(2)/2)*FM70*FP70*VLOOKUP('Données projet'!$B$16,Paramètres!$A$1:$I$89,3,0)*0.475*44/12</f>
        <v>3.8781948263998072E-5</v>
      </c>
      <c r="FT70" s="22">
        <f t="shared" si="78"/>
        <v>5.5345916847093148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>
        <f>FZ70*VLOOKUP('Données projet'!$B$17,Paramètres!$A$1:$I$89,3,0)*VLOOKUP('Données projet'!$B$17,Paramètres!$A$1:$I$89,5,0)</f>
        <v>0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117.54638373164624</v>
      </c>
      <c r="GF70" s="59">
        <f t="shared" si="104"/>
        <v>133.0740262536583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1.0631928593487374</v>
      </c>
      <c r="GM70" s="21">
        <f>EXP(-LN(2)/25)*GM69+(1-EXP(-LN(2)/25))/(LN(2)/25)*Calculateur!GH70*Calculateur!GJ70*VLOOKUP('Données projet'!$B$17,Paramètres!$A$1:$I$89,3,0)*0.475*44/12</f>
        <v>3.1029318905363623</v>
      </c>
      <c r="GN70" s="21">
        <f>EXP(-LN(2)/2)*GN69+(1-EXP(-LN(2)/2))/(LN(2)/2)*GH70*GK70*VLOOKUP('Données projet'!$B$17,Paramètres!$A$1:$I$89,3,0)*0.475*44/12</f>
        <v>1.0912385831654242E-5</v>
      </c>
      <c r="GO70" s="21">
        <f t="shared" si="81"/>
        <v>4.1661356622709311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2.8421709430404007E-14</v>
      </c>
      <c r="GV70" s="17">
        <f>GU70*VLOOKUP('Données projet'!$B$18,Paramètres!$A$1:$I$89,3,0)*VLOOKUP('Données projet'!$B$18,Paramètres!$A$1:$I$89,5,0)</f>
        <v>1.3567387213697657E-14</v>
      </c>
      <c r="GW70" s="13">
        <f t="shared" si="105"/>
        <v>2.5717320947985821E-13</v>
      </c>
      <c r="GX70" s="20">
        <f t="shared" si="82"/>
        <v>4.7153987257460977E-13</v>
      </c>
      <c r="GY70" s="59">
        <f t="shared" si="83"/>
        <v>293.33333333333377</v>
      </c>
      <c r="GZ70" s="59">
        <f ca="1">AVERAGE(OFFSET($GY$3,0,0,'Données projet'!$E$18+1,1))-AVERAGE(OFFSET($H$3,0,0,'Données projet'!$E$18+1,1))</f>
        <v>43.147469606759159</v>
      </c>
      <c r="HA70" s="59">
        <f t="shared" si="106"/>
        <v>147.46995307968473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17.330804000558313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1.4867505335328302E-6</v>
      </c>
      <c r="HJ70" s="22">
        <f t="shared" si="84"/>
        <v>17.330805487308847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175.59999999999988</v>
      </c>
      <c r="O71" s="13">
        <f>N71*VLOOKUP('Données projet'!$B$9,Paramètres!$A$1:$I$89,3,0)*VLOOKUP('Données projet'!$B$9,Paramètres!$A$1:$I$89,5,0)</f>
        <v>158.88287999999989</v>
      </c>
      <c r="P71" s="13">
        <f t="shared" si="87"/>
        <v>40.590443217000136</v>
      </c>
      <c r="Q71" s="20">
        <f t="shared" si="54"/>
        <v>347.41603793627502</v>
      </c>
      <c r="R71" s="59">
        <f t="shared" si="55"/>
        <v>640.74937126960833</v>
      </c>
      <c r="S71" s="59">
        <f ca="1">AVERAGE(OFFSET($R$3,0,0,'Données projet'!$E$9+1,1))-AVERAGE(OFFSET($H$3,0,0,'Données projet'!$E$9+1,1))</f>
        <v>138.8931001150624</v>
      </c>
      <c r="T71" s="59">
        <f t="shared" si="88"/>
        <v>48.964659354096625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4.3</v>
      </c>
      <c r="AI71" s="13">
        <f>IF('Données projet'!$A$62&gt;35,AI70+AH71-AQ70,IF(A71&lt;'Données projet'!$A$62,$AF$205^A71,IF(A71='Données projet'!$A$62,'Données projet'!$B$62,AI70+AH71-AQ70)))</f>
        <v>214.39999999999978</v>
      </c>
      <c r="AJ71" s="13">
        <f>AI71*VLOOKUP('Données projet'!$B$10,Paramètres!$A$1:$I$89,3,0)*VLOOKUP('Données projet'!$B$10,Paramètres!$A$1:$I$89,5,0)</f>
        <v>187.29983999999985</v>
      </c>
      <c r="AK71" s="13">
        <f t="shared" si="89"/>
        <v>46.942489429228111</v>
      </c>
      <c r="AL71" s="20">
        <f t="shared" si="58"/>
        <v>407.97205708923872</v>
      </c>
      <c r="AM71" s="59">
        <f t="shared" si="59"/>
        <v>701.30539042257203</v>
      </c>
      <c r="AN71" s="59">
        <f ca="1">AVERAGE(OFFSET($AM$3,0,0,'Données projet'!$E$10+1,1))-AVERAGE(OFFSET($H$3,0,0,'Données projet'!$E$10+1,1))</f>
        <v>191.94797389630673</v>
      </c>
      <c r="AO71" s="59">
        <f t="shared" si="90"/>
        <v>273.52540822767878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4.8983924246628332</v>
      </c>
      <c r="AW71" s="21">
        <f>EXP(-LN(2)/2)*AW70+(1-EXP(-LN(2)/2))/(LN(2)/2)*AQ71*AT71*VLOOKUP('Données projet'!$B$10,Paramètres!$A$1:$I$89,3,0)*0.475*44/12</f>
        <v>4.4256330336893796E-5</v>
      </c>
      <c r="AX71" s="21">
        <f t="shared" si="60"/>
        <v>6.1115107356837459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</v>
      </c>
      <c r="BD71" s="12">
        <f>IF('Données projet'!$A$88&gt;35,BD70+BC71-BL70,IF(A71&lt;'Données projet'!$A$88,$BA$205^A71,IF(A71='Données projet'!$A$88,'Données projet'!$B$88,BD70+BC71-BL70)))</f>
        <v>302.80000000000013</v>
      </c>
      <c r="BE71" s="13">
        <f>BD71*VLOOKUP('Données projet'!$B$11,Paramètres!$A$1:$I$89,3,0)*VLOOKUP('Données projet'!$B$11,Paramètres!$A$1:$I$89,5,0)</f>
        <v>188.94720000000007</v>
      </c>
      <c r="BF71" s="13">
        <f t="shared" si="91"/>
        <v>47.307118501552047</v>
      </c>
      <c r="BG71" s="20">
        <f t="shared" si="61"/>
        <v>411.47627139020324</v>
      </c>
      <c r="BH71" s="59">
        <f t="shared" si="62"/>
        <v>704.80960472353649</v>
      </c>
      <c r="BI71" s="59">
        <f ca="1">AVERAGE(OFFSET($BH$3,0,0,'Données projet'!$E$11+1,1))-AVERAGE(OFFSET($H$3,0,0,'Données projet'!$E$11+1,1))</f>
        <v>162.91481796710048</v>
      </c>
      <c r="BJ71" s="59">
        <f t="shared" si="92"/>
        <v>182.56192390367823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1.310447590963562</v>
      </c>
      <c r="BQ71" s="21">
        <f>EXP(-LN(2)/25)*BQ70+(1-EXP(-LN(2)/25))/(LN(2)/25)*Calculateur!BL71*Calculateur!BN71*VLOOKUP('Données projet'!$B$11,Paramètres!$A$1:$I$89,3,0)*0.475*44/12</f>
        <v>5.3274318716255564</v>
      </c>
      <c r="BR71" s="21">
        <f>EXP(-LN(2)/2)*BR70+(1-EXP(-LN(2)/2))/(LN(2)/2)*BL71*BO71*VLOOKUP('Données projet'!$B$11,Paramètres!$A$1:$I$89,3,0)*0.475*44/12</f>
        <v>3.4274512111010401E-5</v>
      </c>
      <c r="BS71" s="22">
        <f t="shared" si="63"/>
        <v>6.63791373710123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7.5</v>
      </c>
      <c r="BY71" s="12">
        <f>IF('Données projet'!$A$114&gt;35,BY70+BX71-CG70,IF(A71&lt;'Données projet'!$A$114,$BV$205^A71,IF(A71='Données projet'!$A$114,'Données projet'!$B$114,BY70+BX71-CG70)))</f>
        <v>288.79999999999995</v>
      </c>
      <c r="BZ71" s="13">
        <f>BY71*VLOOKUP('Données projet'!$B$12,Paramètres!$A$1:$I$89,3,0)*VLOOKUP('Données projet'!$B$12,Paramètres!$A$1:$I$89,5,0)</f>
        <v>135.15839999999997</v>
      </c>
      <c r="CA71" s="13">
        <f t="shared" si="93"/>
        <v>35.185601260047996</v>
      </c>
      <c r="CB71" s="20">
        <f t="shared" si="64"/>
        <v>296.68246886125024</v>
      </c>
      <c r="CC71" s="59">
        <f t="shared" si="65"/>
        <v>590.01580219458356</v>
      </c>
      <c r="CD71" s="59">
        <f ca="1">AVERAGE(OFFSET($CC$3,0,0,'Données projet'!$E$12+1,1))-AVERAGE(OFFSET($H$3,0,0,'Données projet'!$E$12+1,1))</f>
        <v>123.60520571614535</v>
      </c>
      <c r="CE71" s="59">
        <f t="shared" si="94"/>
        <v>119.00926870519527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0.40863734030716453</v>
      </c>
      <c r="CL71" s="21">
        <f>EXP(-LN(2)/25)*CL70+(1-EXP(-LN(2)/25))/(LN(2)/25)*Calculateur!CG71*Calculateur!CI71*VLOOKUP('Données projet'!$B$12,Paramètres!$A$1:$I$89,3,0)*0.475*44/12</f>
        <v>1.6655883124132027</v>
      </c>
      <c r="CM71" s="21">
        <f>EXP(-LN(2)/2)*CM70+(1-EXP(-LN(2)/2))/(LN(2)/2)*CG71*CJ71*VLOOKUP('Données projet'!$B$12,Paramètres!$A$1:$I$89,3,0)*0.475*44/12</f>
        <v>1.1660977346577731E-5</v>
      </c>
      <c r="CN71" s="22">
        <f t="shared" si="66"/>
        <v>2.0742373136977137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175.59999999999988</v>
      </c>
      <c r="CU71" s="17">
        <f>CT71*VLOOKUP('Données projet'!$B$13,Paramètres!$A$1:$I$89,3,0)*VLOOKUP('Données projet'!$B$13,Paramètres!$A$1:$I$89,5,0)</f>
        <v>183.5371199999999</v>
      </c>
      <c r="CV71" s="13">
        <f t="shared" si="95"/>
        <v>46.108236709482007</v>
      </c>
      <c r="CW71" s="20">
        <f t="shared" si="67"/>
        <v>399.96566293568094</v>
      </c>
      <c r="CX71" s="59">
        <f t="shared" si="68"/>
        <v>693.2989962690142</v>
      </c>
      <c r="CY71" s="59">
        <f ca="1">AVERAGE(OFFSET($CX$3,0,0,'Données projet'!$E$13+1,1))-AVERAGE(OFFSET($H$3,0,0,'Données projet'!$E$13+1,1))</f>
        <v>177.94336949486529</v>
      </c>
      <c r="CZ71" s="59">
        <f t="shared" si="96"/>
        <v>65.559373432574603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</v>
      </c>
      <c r="DO71" s="12">
        <f>IF('Données projet'!$A$166&gt;35,DO70+DN71-DW70,IF(A71&lt;'Données projet'!$A$166,$DL$205^A71,IF(A71='Données projet'!$A$166,'Données projet'!$B$166,DO70+DN71-DW70)))</f>
        <v>339.00000000000006</v>
      </c>
      <c r="DP71" s="17">
        <f>DO71*VLOOKUP('Données projet'!$B$14,Paramètres!$A$1:$I$89,3,0)*VLOOKUP('Données projet'!$B$14,Paramètres!$A$1:$I$89,5,0)</f>
        <v>202.72200000000004</v>
      </c>
      <c r="DQ71" s="13">
        <f t="shared" si="97"/>
        <v>50.341909475522883</v>
      </c>
      <c r="DR71" s="20">
        <f t="shared" si="70"/>
        <v>440.75297566986904</v>
      </c>
      <c r="DS71" s="59">
        <f t="shared" si="71"/>
        <v>734.08630900320236</v>
      </c>
      <c r="DT71" s="59">
        <f ca="1">AVERAGE(OFFSET($DS$3,0,0,'Données projet'!$E$14+1,1))-AVERAGE(OFFSET($H$3,0,0,'Données projet'!$E$14+1,1))</f>
        <v>165.39579887388538</v>
      </c>
      <c r="DU71" s="59">
        <f t="shared" si="98"/>
        <v>155.89639262545802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2.5416571296355466</v>
      </c>
      <c r="EC71" s="21">
        <f>EXP(-LN(2)/2)*EC70+(1-EXP(-LN(2)/2))/(LN(2)/2)*DW71*DZ71*VLOOKUP('Données projet'!$B$14,Paramètres!$A$1:$I$89,3,0)*0.475*44/12</f>
        <v>2.6474067183259872E-5</v>
      </c>
      <c r="ED71" s="22">
        <f t="shared" si="72"/>
        <v>2.5416836037027299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15.3</v>
      </c>
      <c r="EJ71" s="12">
        <f>IF('Données projet'!$A$192&gt;35,EJ70+EI71-ER70,IF(A71&lt;'Données projet'!$A$192,$EG$205^A71,IF(A71='Données projet'!$A$192,'Données projet'!$B$192,EJ70+EI71-ER70)))</f>
        <v>592.39999999999941</v>
      </c>
      <c r="EK71" s="17">
        <f>EJ71*VLOOKUP('Données projet'!$B$15,Paramètres!$A$1:$I$89,3,0)*VLOOKUP('Données projet'!$B$15,Paramètres!$A$1:$I$89,5,0)</f>
        <v>284.94439999999975</v>
      </c>
      <c r="EL71" s="13">
        <f t="shared" si="99"/>
        <v>68.010835859755218</v>
      </c>
      <c r="EM71" s="20">
        <f t="shared" si="73"/>
        <v>614.73036912240661</v>
      </c>
      <c r="EN71" s="59">
        <f t="shared" si="74"/>
        <v>908.06370245573999</v>
      </c>
      <c r="EO71" s="59">
        <f ca="1">AVERAGE(OFFSET($EN$3,0,0,'Données projet'!$E$15+1,1))-AVERAGE(OFFSET($H$3,0,0,'Données projet'!$E$15+1,1))</f>
        <v>252.30925789500111</v>
      </c>
      <c r="EP71" s="59">
        <f t="shared" si="100"/>
        <v>213.96033794804805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2.1826167651576904</v>
      </c>
      <c r="EW71" s="21">
        <f>EXP(-LN(2)/25)*EW70+(1-EXP(-LN(2)/25))/(LN(2)/25)*Calculateur!ER71*Calculateur!ET71*VLOOKUP('Données projet'!$B$15,Paramètres!$A$1:$I$89,3,0)*0.475*44/12</f>
        <v>3.217815191057857</v>
      </c>
      <c r="EX71" s="21">
        <f>EXP(-LN(2)/2)*EX70+(1-EXP(-LN(2)/2))/(LN(2)/2)*ER71*EU71*VLOOKUP('Données projet'!$B$15,Paramètres!$A$1:$I$89,3,0)*0.475*44/12</f>
        <v>2.7422978605098892E-5</v>
      </c>
      <c r="EY71" s="22">
        <f t="shared" si="75"/>
        <v>5.4004593791941522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15.3</v>
      </c>
      <c r="FE71" s="12">
        <f>IF('Données projet'!$A$218&gt;35,FE70+FD71-FM70,IF(A71&lt;'Données projet'!$A$218,$FB$205^A71,IF(A71='Données projet'!$A$218,'Données projet'!$B$218,FE70+FD71-FM70)))</f>
        <v>592.39999999999941</v>
      </c>
      <c r="FF71" s="17">
        <f>FE71*VLOOKUP('Données projet'!$B$16,Paramètres!$A$1:$I$89,3,0)*VLOOKUP('Données projet'!$B$16,Paramètres!$A$1:$I$89,5,0)</f>
        <v>284.94439999999975</v>
      </c>
      <c r="FG71" s="13">
        <f t="shared" si="101"/>
        <v>68.010835859755218</v>
      </c>
      <c r="FH71" s="20">
        <f t="shared" si="76"/>
        <v>614.73036912240661</v>
      </c>
      <c r="FI71" s="59">
        <f t="shared" si="77"/>
        <v>908.06370245573999</v>
      </c>
      <c r="FJ71" s="59">
        <f ca="1">AVERAGE(OFFSET($FI$3,0,0,'Données projet'!$E$16+1,1))-AVERAGE(OFFSET($H$3,0,0,'Données projet'!$E$16+1,1))</f>
        <v>252.30925789500111</v>
      </c>
      <c r="FK71" s="59">
        <f t="shared" si="102"/>
        <v>213.96033794804805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2.1826167651576904</v>
      </c>
      <c r="FR71" s="21">
        <f>EXP(-LN(2)/25)*FR70+(1-EXP(-LN(2)/25))/(LN(2)/25)*Calculateur!FM71*Calculateur!FO71*VLOOKUP('Données projet'!$B$16,Paramètres!$A$1:$I$89,3,0)*0.475*44/12</f>
        <v>3.217815191057857</v>
      </c>
      <c r="FS71" s="21">
        <f>EXP(-LN(2)/2)*FS70+(1-EXP(-LN(2)/2))/(LN(2)/2)*FM71*FP71*VLOOKUP('Données projet'!$B$16,Paramètres!$A$1:$I$89,3,0)*0.475*44/12</f>
        <v>2.7422978605098892E-5</v>
      </c>
      <c r="FT71" s="22">
        <f t="shared" si="78"/>
        <v>5.4004593791941522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>
        <f>FZ71*VLOOKUP('Données projet'!$B$17,Paramètres!$A$1:$I$89,3,0)*VLOOKUP('Données projet'!$B$17,Paramètres!$A$1:$I$89,5,0)</f>
        <v>0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117.54638373164624</v>
      </c>
      <c r="GF71" s="59">
        <f t="shared" si="104"/>
        <v>133.0740262536583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1.0423442958605205</v>
      </c>
      <c r="GM71" s="21">
        <f>EXP(-LN(2)/25)*GM70+(1-EXP(-LN(2)/25))/(LN(2)/25)*Calculateur!GH71*Calculateur!GJ71*VLOOKUP('Données projet'!$B$17,Paramètres!$A$1:$I$89,3,0)*0.475*44/12</f>
        <v>3.0180820548135494</v>
      </c>
      <c r="GN71" s="21">
        <f>EXP(-LN(2)/2)*GN70+(1-EXP(-LN(2)/2))/(LN(2)/2)*GH71*GK71*VLOOKUP('Données projet'!$B$17,Paramètres!$A$1:$I$89,3,0)*0.475*44/12</f>
        <v>7.7162220204867176E-6</v>
      </c>
      <c r="GO71" s="21">
        <f t="shared" si="81"/>
        <v>4.0604340668960903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2.8421709430404007E-14</v>
      </c>
      <c r="GV71" s="17">
        <f>GU71*VLOOKUP('Données projet'!$B$18,Paramètres!$A$1:$I$89,3,0)*VLOOKUP('Données projet'!$B$18,Paramètres!$A$1:$I$89,5,0)</f>
        <v>1.3567387213697657E-14</v>
      </c>
      <c r="GW71" s="13">
        <f t="shared" si="105"/>
        <v>2.5717320947985821E-13</v>
      </c>
      <c r="GX71" s="20">
        <f t="shared" si="82"/>
        <v>4.7153987257460977E-13</v>
      </c>
      <c r="GY71" s="59">
        <f t="shared" si="83"/>
        <v>293.33333333333377</v>
      </c>
      <c r="GZ71" s="59">
        <f ca="1">AVERAGE(OFFSET($GY$3,0,0,'Données projet'!$E$18+1,1))-AVERAGE(OFFSET($H$3,0,0,'Données projet'!$E$18+1,1))</f>
        <v>43.147469606759159</v>
      </c>
      <c r="HA71" s="59">
        <f t="shared" si="106"/>
        <v>147.46995307968473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16.99095750485403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1.0512913841937817E-6</v>
      </c>
      <c r="HJ71" s="22">
        <f t="shared" si="84"/>
        <v>16.990958556145415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180.79999999999987</v>
      </c>
      <c r="O72" s="13">
        <f>N72*VLOOKUP('Données projet'!$B$9,Paramètres!$A$1:$I$89,3,0)*VLOOKUP('Données projet'!$B$9,Paramètres!$A$1:$I$89,5,0)</f>
        <v>163.58783999999989</v>
      </c>
      <c r="P72" s="13">
        <f t="shared" si="87"/>
        <v>41.650715313623969</v>
      </c>
      <c r="Q72" s="20">
        <f t="shared" si="54"/>
        <v>357.45715050456153</v>
      </c>
      <c r="R72" s="59">
        <f t="shared" si="55"/>
        <v>650.79048383789484</v>
      </c>
      <c r="S72" s="59">
        <f ca="1">AVERAGE(OFFSET($R$3,0,0,'Données projet'!$E$9+1,1))-AVERAGE(OFFSET($H$3,0,0,'Données projet'!$E$9+1,1))</f>
        <v>138.8931001150624</v>
      </c>
      <c r="T72" s="59">
        <f t="shared" si="88"/>
        <v>48.964659354096625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4.3</v>
      </c>
      <c r="AI72" s="13">
        <f>IF('Données projet'!$A$62&gt;35,AI71+AH72-AQ71,IF(A72&lt;'Données projet'!$A$62,$AF$205^A72,IF(A72='Données projet'!$A$62,'Données projet'!$B$62,AI71+AH72-AQ71)))</f>
        <v>218.69999999999979</v>
      </c>
      <c r="AJ72" s="13">
        <f>AI72*VLOOKUP('Données projet'!$B$10,Paramètres!$A$1:$I$89,3,0)*VLOOKUP('Données projet'!$B$10,Paramètres!$A$1:$I$89,5,0)</f>
        <v>191.05631999999983</v>
      </c>
      <c r="AK72" s="13">
        <f t="shared" si="89"/>
        <v>47.773414796152679</v>
      </c>
      <c r="AL72" s="20">
        <f t="shared" si="58"/>
        <v>415.96178810329894</v>
      </c>
      <c r="AM72" s="59">
        <f t="shared" si="59"/>
        <v>709.29512143663226</v>
      </c>
      <c r="AN72" s="59">
        <f ca="1">AVERAGE(OFFSET($AM$3,0,0,'Données projet'!$E$10+1,1))-AVERAGE(OFFSET($H$3,0,0,'Données projet'!$E$10+1,1))</f>
        <v>191.94797389630673</v>
      </c>
      <c r="AO72" s="59">
        <f t="shared" si="90"/>
        <v>273.52540822767878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4.7644456262151662</v>
      </c>
      <c r="AW72" s="21">
        <f>EXP(-LN(2)/2)*AW71+(1-EXP(-LN(2)/2))/(LN(2)/2)*AQ72*AT72*VLOOKUP('Données projet'!$B$10,Paramètres!$A$1:$I$89,3,0)*0.475*44/12</f>
        <v>3.1293951291649525E-5</v>
      </c>
      <c r="AX72" s="21">
        <f t="shared" si="60"/>
        <v>5.9537633325466652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</v>
      </c>
      <c r="BD72" s="12">
        <f>IF('Données projet'!$A$88&gt;35,BD71+BC72-BL71,IF(A72&lt;'Données projet'!$A$88,$BA$205^A72,IF(A72='Données projet'!$A$88,'Données projet'!$B$88,BD71+BC72-BL71)))</f>
        <v>308.40000000000015</v>
      </c>
      <c r="BE72" s="13">
        <f>BD72*VLOOKUP('Données projet'!$B$11,Paramètres!$A$1:$I$89,3,0)*VLOOKUP('Données projet'!$B$11,Paramètres!$A$1:$I$89,5,0)</f>
        <v>192.44160000000011</v>
      </c>
      <c r="BF72" s="13">
        <f t="shared" si="91"/>
        <v>48.079354143400316</v>
      </c>
      <c r="BG72" s="20">
        <f t="shared" si="61"/>
        <v>418.90732846642237</v>
      </c>
      <c r="BH72" s="59">
        <f t="shared" si="62"/>
        <v>712.24066179975569</v>
      </c>
      <c r="BI72" s="59">
        <f ca="1">AVERAGE(OFFSET($BH$3,0,0,'Données projet'!$E$11+1,1))-AVERAGE(OFFSET($H$3,0,0,'Données projet'!$E$11+1,1))</f>
        <v>162.91481796710048</v>
      </c>
      <c r="BJ72" s="59">
        <f t="shared" si="92"/>
        <v>182.56192390367823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1.2847505129988732</v>
      </c>
      <c r="BQ72" s="21">
        <f>EXP(-LN(2)/25)*BQ71+(1-EXP(-LN(2)/25))/(LN(2)/25)*Calculateur!BL72*Calculateur!BN72*VLOOKUP('Données projet'!$B$11,Paramètres!$A$1:$I$89,3,0)*0.475*44/12</f>
        <v>5.1817529669384896</v>
      </c>
      <c r="BR72" s="21">
        <f>EXP(-LN(2)/2)*BR71+(1-EXP(-LN(2)/2))/(LN(2)/2)*BL72*BO72*VLOOKUP('Données projet'!$B$11,Paramètres!$A$1:$I$89,3,0)*0.475*44/12</f>
        <v>2.4235739935555906E-5</v>
      </c>
      <c r="BS72" s="22">
        <f t="shared" si="63"/>
        <v>6.4665277156772989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7.5</v>
      </c>
      <c r="BY72" s="12">
        <f>IF('Données projet'!$A$114&gt;35,BY71+BX72-CG71,IF(A72&lt;'Données projet'!$A$114,$BV$205^A72,IF(A72='Données projet'!$A$114,'Données projet'!$B$114,BY71+BX72-CG71)))</f>
        <v>296.29999999999995</v>
      </c>
      <c r="BZ72" s="13">
        <f>BY72*VLOOKUP('Données projet'!$B$12,Paramètres!$A$1:$I$89,3,0)*VLOOKUP('Données projet'!$B$12,Paramètres!$A$1:$I$89,5,0)</f>
        <v>138.66839999999996</v>
      </c>
      <c r="CA72" s="13">
        <f t="shared" si="93"/>
        <v>35.991785167697529</v>
      </c>
      <c r="CB72" s="20">
        <f t="shared" si="64"/>
        <v>304.19982250040647</v>
      </c>
      <c r="CC72" s="59">
        <f t="shared" si="65"/>
        <v>597.53315583373978</v>
      </c>
      <c r="CD72" s="59">
        <f ca="1">AVERAGE(OFFSET($CC$3,0,0,'Données projet'!$E$12+1,1))-AVERAGE(OFFSET($H$3,0,0,'Données projet'!$E$12+1,1))</f>
        <v>123.60520571614535</v>
      </c>
      <c r="CE72" s="59">
        <f t="shared" si="94"/>
        <v>119.00926870519527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0.40062421130790782</v>
      </c>
      <c r="CL72" s="21">
        <f>EXP(-LN(2)/25)*CL71+(1-EXP(-LN(2)/25))/(LN(2)/25)*Calculateur!CG72*Calculateur!CI72*VLOOKUP('Données projet'!$B$12,Paramètres!$A$1:$I$89,3,0)*0.475*44/12</f>
        <v>1.620042712420781</v>
      </c>
      <c r="CM72" s="21">
        <f>EXP(-LN(2)/2)*CM71+(1-EXP(-LN(2)/2))/(LN(2)/2)*CG72*CJ72*VLOOKUP('Données projet'!$B$12,Paramètres!$A$1:$I$89,3,0)*0.475*44/12</f>
        <v>8.2455561570278271E-6</v>
      </c>
      <c r="CN72" s="22">
        <f t="shared" si="66"/>
        <v>2.0206751692848459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180.79999999999987</v>
      </c>
      <c r="CU72" s="17">
        <f>CT72*VLOOKUP('Données projet'!$B$13,Paramètres!$A$1:$I$89,3,0)*VLOOKUP('Données projet'!$B$13,Paramètres!$A$1:$I$89,5,0)</f>
        <v>188.97215999999989</v>
      </c>
      <c r="CV72" s="13">
        <f t="shared" si="95"/>
        <v>47.312640330951098</v>
      </c>
      <c r="CW72" s="20">
        <f t="shared" si="67"/>
        <v>411.5293605764063</v>
      </c>
      <c r="CX72" s="59">
        <f t="shared" si="68"/>
        <v>704.86269390973962</v>
      </c>
      <c r="CY72" s="59">
        <f ca="1">AVERAGE(OFFSET($CX$3,0,0,'Données projet'!$E$13+1,1))-AVERAGE(OFFSET($H$3,0,0,'Données projet'!$E$13+1,1))</f>
        <v>177.94336949486529</v>
      </c>
      <c r="CZ72" s="59">
        <f t="shared" si="96"/>
        <v>65.559373432574603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</v>
      </c>
      <c r="DO72" s="12">
        <f>IF('Données projet'!$A$166&gt;35,DO71+DN72-DW71,IF(A72&lt;'Données projet'!$A$166,$DL$205^A72,IF(A72='Données projet'!$A$166,'Données projet'!$B$166,DO71+DN72-DW71)))</f>
        <v>347.00000000000006</v>
      </c>
      <c r="DP72" s="17">
        <f>DO72*VLOOKUP('Données projet'!$B$14,Paramètres!$A$1:$I$89,3,0)*VLOOKUP('Données projet'!$B$14,Paramètres!$A$1:$I$89,5,0)</f>
        <v>207.50600000000006</v>
      </c>
      <c r="DQ72" s="13">
        <f t="shared" si="97"/>
        <v>51.3902055726969</v>
      </c>
      <c r="DR72" s="20">
        <f t="shared" si="70"/>
        <v>450.91089137244717</v>
      </c>
      <c r="DS72" s="59">
        <f t="shared" si="71"/>
        <v>744.24422470578043</v>
      </c>
      <c r="DT72" s="59">
        <f ca="1">AVERAGE(OFFSET($DS$3,0,0,'Données projet'!$E$14+1,1))-AVERAGE(OFFSET($H$3,0,0,'Données projet'!$E$14+1,1))</f>
        <v>165.39579887388538</v>
      </c>
      <c r="DU72" s="59">
        <f t="shared" si="98"/>
        <v>155.89639262545802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2.4721553817657234</v>
      </c>
      <c r="EC72" s="21">
        <f>EXP(-LN(2)/2)*EC71+(1-EXP(-LN(2)/2))/(LN(2)/2)*DW72*DZ72*VLOOKUP('Données projet'!$B$14,Paramètres!$A$1:$I$89,3,0)*0.475*44/12</f>
        <v>1.8719992430871296E-5</v>
      </c>
      <c r="ED72" s="22">
        <f t="shared" si="72"/>
        <v>2.4721741017581542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15.3</v>
      </c>
      <c r="EJ72" s="12">
        <f>IF('Données projet'!$A$192&gt;35,EJ71+EI72-ER71,IF(A72&lt;'Données projet'!$A$192,$EG$205^A72,IF(A72='Données projet'!$A$192,'Données projet'!$B$192,EJ71+EI72-ER71)))</f>
        <v>607.69999999999936</v>
      </c>
      <c r="EK72" s="17">
        <f>EJ72*VLOOKUP('Données projet'!$B$15,Paramètres!$A$1:$I$89,3,0)*VLOOKUP('Données projet'!$B$15,Paramètres!$A$1:$I$89,5,0)</f>
        <v>292.30369999999971</v>
      </c>
      <c r="EL72" s="13">
        <f t="shared" si="99"/>
        <v>69.560591063292193</v>
      </c>
      <c r="EM72" s="20">
        <f t="shared" si="73"/>
        <v>630.24697360189998</v>
      </c>
      <c r="EN72" s="59">
        <f t="shared" si="74"/>
        <v>923.58030693523324</v>
      </c>
      <c r="EO72" s="59">
        <f ca="1">AVERAGE(OFFSET($EN$3,0,0,'Données projet'!$E$15+1,1))-AVERAGE(OFFSET($H$3,0,0,'Données projet'!$E$15+1,1))</f>
        <v>252.30925789500111</v>
      </c>
      <c r="EP72" s="59">
        <f t="shared" si="100"/>
        <v>213.96033794804805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2.1398169816577233</v>
      </c>
      <c r="EW72" s="21">
        <f>EXP(-LN(2)/25)*EW71+(1-EXP(-LN(2)/25))/(LN(2)/25)*Calculateur!ER72*Calculateur!ET72*VLOOKUP('Données projet'!$B$15,Paramètres!$A$1:$I$89,3,0)*0.475*44/12</f>
        <v>3.1298238654408332</v>
      </c>
      <c r="EX72" s="21">
        <f>EXP(-LN(2)/2)*EX71+(1-EXP(-LN(2)/2))/(LN(2)/2)*ER72*EU72*VLOOKUP('Données projet'!$B$15,Paramètres!$A$1:$I$89,3,0)*0.475*44/12</f>
        <v>1.9390974131999036E-5</v>
      </c>
      <c r="EY72" s="22">
        <f t="shared" si="75"/>
        <v>5.2696602380726887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15.3</v>
      </c>
      <c r="FE72" s="12">
        <f>IF('Données projet'!$A$218&gt;35,FE71+FD72-FM71,IF(A72&lt;'Données projet'!$A$218,$FB$205^A72,IF(A72='Données projet'!$A$218,'Données projet'!$B$218,FE71+FD72-FM71)))</f>
        <v>607.69999999999936</v>
      </c>
      <c r="FF72" s="17">
        <f>FE72*VLOOKUP('Données projet'!$B$16,Paramètres!$A$1:$I$89,3,0)*VLOOKUP('Données projet'!$B$16,Paramètres!$A$1:$I$89,5,0)</f>
        <v>292.30369999999971</v>
      </c>
      <c r="FG72" s="13">
        <f t="shared" si="101"/>
        <v>69.560591063292193</v>
      </c>
      <c r="FH72" s="20">
        <f t="shared" si="76"/>
        <v>630.24697360189998</v>
      </c>
      <c r="FI72" s="59">
        <f t="shared" si="77"/>
        <v>923.58030693523324</v>
      </c>
      <c r="FJ72" s="59">
        <f ca="1">AVERAGE(OFFSET($FI$3,0,0,'Données projet'!$E$16+1,1))-AVERAGE(OFFSET($H$3,0,0,'Données projet'!$E$16+1,1))</f>
        <v>252.30925789500111</v>
      </c>
      <c r="FK72" s="59">
        <f t="shared" si="102"/>
        <v>213.96033794804805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2.1398169816577233</v>
      </c>
      <c r="FR72" s="21">
        <f>EXP(-LN(2)/25)*FR71+(1-EXP(-LN(2)/25))/(LN(2)/25)*Calculateur!FM72*Calculateur!FO72*VLOOKUP('Données projet'!$B$16,Paramètres!$A$1:$I$89,3,0)*0.475*44/12</f>
        <v>3.1298238654408332</v>
      </c>
      <c r="FS72" s="21">
        <f>EXP(-LN(2)/2)*FS71+(1-EXP(-LN(2)/2))/(LN(2)/2)*FM72*FP72*VLOOKUP('Données projet'!$B$16,Paramètres!$A$1:$I$89,3,0)*0.475*44/12</f>
        <v>1.9390974131999036E-5</v>
      </c>
      <c r="FT72" s="22">
        <f t="shared" si="78"/>
        <v>5.2696602380726887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>
        <f>FZ72*VLOOKUP('Données projet'!$B$17,Paramètres!$A$1:$I$89,3,0)*VLOOKUP('Données projet'!$B$17,Paramètres!$A$1:$I$89,5,0)</f>
        <v>0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117.54638373164624</v>
      </c>
      <c r="GF72" s="59">
        <f t="shared" si="104"/>
        <v>133.0740262536583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1.0219045599859393</v>
      </c>
      <c r="GM72" s="21">
        <f>EXP(-LN(2)/25)*GM71+(1-EXP(-LN(2)/25))/(LN(2)/25)*Calculateur!GH72*Calculateur!GJ72*VLOOKUP('Données projet'!$B$17,Paramètres!$A$1:$I$89,3,0)*0.475*44/12</f>
        <v>2.9355524423106356</v>
      </c>
      <c r="GN72" s="21">
        <f>EXP(-LN(2)/2)*GN71+(1-EXP(-LN(2)/2))/(LN(2)/2)*GH72*GK72*VLOOKUP('Données projet'!$B$17,Paramètres!$A$1:$I$89,3,0)*0.475*44/12</f>
        <v>5.4561929158271211E-6</v>
      </c>
      <c r="GO72" s="21">
        <f t="shared" si="81"/>
        <v>3.9574624584894909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2.8421709430404007E-14</v>
      </c>
      <c r="GV72" s="17">
        <f>GU72*VLOOKUP('Données projet'!$B$18,Paramètres!$A$1:$I$89,3,0)*VLOOKUP('Données projet'!$B$18,Paramètres!$A$1:$I$89,5,0)</f>
        <v>1.3567387213697657E-14</v>
      </c>
      <c r="GW72" s="13">
        <f t="shared" si="105"/>
        <v>2.5717320947985821E-13</v>
      </c>
      <c r="GX72" s="20">
        <f t="shared" si="82"/>
        <v>4.7153987257460977E-13</v>
      </c>
      <c r="GY72" s="59">
        <f t="shared" si="83"/>
        <v>293.33333333333377</v>
      </c>
      <c r="GZ72" s="59">
        <f ca="1">AVERAGE(OFFSET($GY$3,0,0,'Données projet'!$E$18+1,1))-AVERAGE(OFFSET($H$3,0,0,'Données projet'!$E$18+1,1))</f>
        <v>43.147469606759159</v>
      </c>
      <c r="HA72" s="59">
        <f t="shared" si="106"/>
        <v>147.46995307968473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16.657775191644614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7.4337526676641511E-7</v>
      </c>
      <c r="HJ72" s="22">
        <f t="shared" si="84"/>
        <v>16.657775935019881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186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185.99999999999986</v>
      </c>
      <c r="O73" s="13">
        <f>N73*VLOOKUP('Données projet'!$B$9,Paramètres!$A$1:$I$89,3,0)*VLOOKUP('Données projet'!$B$9,Paramètres!$A$1:$I$89,5,0)</f>
        <v>168.29279999999986</v>
      </c>
      <c r="P73" s="13">
        <f t="shared" si="87"/>
        <v>42.707443263135069</v>
      </c>
      <c r="Q73" s="20">
        <f t="shared" si="54"/>
        <v>367.49209034995994</v>
      </c>
      <c r="R73" s="59">
        <f t="shared" si="55"/>
        <v>660.82542368329325</v>
      </c>
      <c r="S73" s="59">
        <f ca="1">AVERAGE(OFFSET($R$3,0,0,'Données projet'!$E$9+1,1))-AVERAGE(OFFSET($H$3,0,0,'Données projet'!$E$9+1,1))</f>
        <v>138.8931001150624</v>
      </c>
      <c r="T73" s="59">
        <f t="shared" si="88"/>
        <v>48.964659354096625</v>
      </c>
      <c r="U73" s="15">
        <f>IF(ISNA(VLOOKUP(A73,'Données projet'!$A$35:$I$55,3,0)),0,VLOOKUP(A73,'Données projet'!$A$35:$I$55,3,0))</f>
        <v>4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4.3</v>
      </c>
      <c r="AH73" s="12">
        <f t="array" ref="AH73">INDEX(AG:AG,MIN(IF(ISNUMBER(AG73:AG269),ROW(AG73:AG269),"")))</f>
        <v>4.3</v>
      </c>
      <c r="AI73" s="13">
        <f>IF('Données projet'!$A$62&gt;35,AI72+AH73-AQ72,IF(A73&lt;'Données projet'!$A$62,$AF$205^A73,IF(A73='Données projet'!$A$62,'Données projet'!$B$62,AI72+AH73-AQ72)))</f>
        <v>222.9999999999998</v>
      </c>
      <c r="AJ73" s="13">
        <f>AI73*VLOOKUP('Données projet'!$B$10,Paramètres!$A$1:$I$89,3,0)*VLOOKUP('Données projet'!$B$10,Paramètres!$A$1:$I$89,5,0)</f>
        <v>194.81279999999984</v>
      </c>
      <c r="AK73" s="13">
        <f t="shared" si="89"/>
        <v>48.602440540253809</v>
      </c>
      <c r="AL73" s="20">
        <f t="shared" si="58"/>
        <v>423.94821060760842</v>
      </c>
      <c r="AM73" s="59">
        <f t="shared" si="59"/>
        <v>717.28154394094167</v>
      </c>
      <c r="AN73" s="59">
        <f ca="1">AVERAGE(OFFSET($AM$3,0,0,'Données projet'!$E$10+1,1))-AVERAGE(OFFSET($H$3,0,0,'Données projet'!$E$10+1,1))</f>
        <v>191.94797389630673</v>
      </c>
      <c r="AO73" s="59">
        <f t="shared" si="90"/>
        <v>273.52540822767878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4.6341616100150063</v>
      </c>
      <c r="AW73" s="21">
        <f>EXP(-LN(2)/2)*AW72+(1-EXP(-LN(2)/2))/(LN(2)/2)*AQ73*AT73*VLOOKUP('Données projet'!$B$10,Paramètres!$A$1:$I$89,3,0)*0.475*44/12</f>
        <v>2.2128165168446898E-5</v>
      </c>
      <c r="AX73" s="21">
        <f t="shared" si="60"/>
        <v>5.8001489694066919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314</v>
      </c>
      <c r="BB73" s="12">
        <f>VLOOKUP(A73,'Données projet'!$A$87:$I$107,9,0)</f>
        <v>5.6</v>
      </c>
      <c r="BC73" s="12">
        <f t="array" ref="BC73">INDEX(BB:BB,MIN(IF(ISNUMBER(BB73:BB269),ROW(BB73:BB269),"")))</f>
        <v>5.6</v>
      </c>
      <c r="BD73" s="12">
        <f>IF('Données projet'!$A$88&gt;35,BD72+BC73-BL72,IF(A73&lt;'Données projet'!$A$88,$BA$205^A73,IF(A73='Données projet'!$A$88,'Données projet'!$B$88,BD72+BC73-BL72)))</f>
        <v>314.00000000000017</v>
      </c>
      <c r="BE73" s="13">
        <f>BD73*VLOOKUP('Données projet'!$B$11,Paramètres!$A$1:$I$89,3,0)*VLOOKUP('Données projet'!$B$11,Paramètres!$A$1:$I$89,5,0)</f>
        <v>195.93600000000012</v>
      </c>
      <c r="BF73" s="13">
        <f t="shared" si="91"/>
        <v>48.849959202565898</v>
      </c>
      <c r="BG73" s="20">
        <f t="shared" si="61"/>
        <v>426.33554561113579</v>
      </c>
      <c r="BH73" s="59">
        <f t="shared" si="62"/>
        <v>719.66887894446904</v>
      </c>
      <c r="BI73" s="59">
        <f ca="1">AVERAGE(OFFSET($BH$3,0,0,'Données projet'!$E$11+1,1))-AVERAGE(OFFSET($H$3,0,0,'Données projet'!$E$11+1,1))</f>
        <v>162.91481796710048</v>
      </c>
      <c r="BJ73" s="59">
        <f t="shared" si="92"/>
        <v>182.56192390367823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1.2595573390594021</v>
      </c>
      <c r="BQ73" s="21">
        <f>EXP(-LN(2)/25)*BQ72+(1-EXP(-LN(2)/25))/(LN(2)/25)*Calculateur!BL73*Calculateur!BN73*VLOOKUP('Données projet'!$B$11,Paramètres!$A$1:$I$89,3,0)*0.475*44/12</f>
        <v>5.0400576595610111</v>
      </c>
      <c r="BR73" s="21">
        <f>EXP(-LN(2)/2)*BR72+(1-EXP(-LN(2)/2))/(LN(2)/2)*BL73*BO73*VLOOKUP('Données projet'!$B$11,Paramètres!$A$1:$I$89,3,0)*0.475*44/12</f>
        <v>1.7137256055505201E-5</v>
      </c>
      <c r="BS73" s="22">
        <f t="shared" si="63"/>
        <v>6.2996321358764682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303.8</v>
      </c>
      <c r="BW73" s="12">
        <f>VLOOKUP(A73,'Données projet'!$A$113:$I$133,9,0)</f>
        <v>7.5</v>
      </c>
      <c r="BX73" s="12">
        <f t="array" ref="BX73">INDEX(BW:BW,MIN(IF(ISNUMBER(BW73:BW269),ROW(BW73:BW269),"")))</f>
        <v>7.5</v>
      </c>
      <c r="BY73" s="12">
        <f>IF('Données projet'!$A$114&gt;35,BY72+BX73-CG72,IF(A73&lt;'Données projet'!$A$114,$BV$205^A73,IF(A73='Données projet'!$A$114,'Données projet'!$B$114,BY72+BX73-CG72)))</f>
        <v>303.79999999999995</v>
      </c>
      <c r="BZ73" s="13">
        <f>BY73*VLOOKUP('Données projet'!$B$12,Paramètres!$A$1:$I$89,3,0)*VLOOKUP('Données projet'!$B$12,Paramètres!$A$1:$I$89,5,0)</f>
        <v>142.17839999999998</v>
      </c>
      <c r="CA73" s="13">
        <f t="shared" si="93"/>
        <v>36.795597013009356</v>
      </c>
      <c r="CB73" s="20">
        <f t="shared" si="64"/>
        <v>311.71304479765791</v>
      </c>
      <c r="CC73" s="59">
        <f t="shared" si="65"/>
        <v>605.04637813099123</v>
      </c>
      <c r="CD73" s="59">
        <f ca="1">AVERAGE(OFFSET($CC$3,0,0,'Données projet'!$E$12+1,1))-AVERAGE(OFFSET($H$3,0,0,'Données projet'!$E$12+1,1))</f>
        <v>123.60520571614535</v>
      </c>
      <c r="CE73" s="59">
        <f t="shared" si="94"/>
        <v>119.00926870519527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46.3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0.39276821488080044</v>
      </c>
      <c r="CL73" s="21">
        <f>EXP(-LN(2)/25)*CL72+(1-EXP(-LN(2)/25))/(LN(2)/25)*Calculateur!CG73*Calculateur!CI73*VLOOKUP('Données projet'!$B$12,Paramètres!$A$1:$I$89,3,0)*0.475*44/12</f>
        <v>1.5757425592552912</v>
      </c>
      <c r="CM73" s="21">
        <f>EXP(-LN(2)/2)*CM72+(1-EXP(-LN(2)/2))/(LN(2)/2)*CG73*CJ73*VLOOKUP('Données projet'!$B$12,Paramètres!$A$1:$I$89,3,0)*0.475*44/12</f>
        <v>5.8304886732888656E-6</v>
      </c>
      <c r="CN73" s="22">
        <f t="shared" si="66"/>
        <v>1.9685166046247649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185.99999999999986</v>
      </c>
      <c r="CU73" s="17">
        <f>CT73*VLOOKUP('Données projet'!$B$13,Paramètres!$A$1:$I$89,3,0)*VLOOKUP('Données projet'!$B$13,Paramètres!$A$1:$I$89,5,0)</f>
        <v>194.40719999999988</v>
      </c>
      <c r="CV73" s="13">
        <f t="shared" si="95"/>
        <v>48.513018020179558</v>
      </c>
      <c r="CW73" s="20">
        <f t="shared" si="67"/>
        <v>423.08604638514583</v>
      </c>
      <c r="CX73" s="59">
        <f t="shared" si="68"/>
        <v>716.41937971847915</v>
      </c>
      <c r="CY73" s="59">
        <f ca="1">AVERAGE(OFFSET($CX$3,0,0,'Données projet'!$E$13+1,1))-AVERAGE(OFFSET($H$3,0,0,'Données projet'!$E$13+1,1))</f>
        <v>177.94336949486529</v>
      </c>
      <c r="CZ73" s="59">
        <f t="shared" si="96"/>
        <v>65.559373432574603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355</v>
      </c>
      <c r="DM73" s="12">
        <f>VLOOKUP(A73,'Données projet'!$A$165:$I$185,9,0)</f>
        <v>8</v>
      </c>
      <c r="DN73" s="12">
        <f t="array" ref="DN73">INDEX(DM:DM,MIN(IF(ISNUMBER(DM73:DM269),ROW(DM73:DM269),"")))</f>
        <v>8</v>
      </c>
      <c r="DO73" s="12">
        <f>IF('Données projet'!$A$166&gt;35,DO72+DN73-DW72,IF(A73&lt;'Données projet'!$A$166,$DL$205^A73,IF(A73='Données projet'!$A$166,'Données projet'!$B$166,DO72+DN73-DW72)))</f>
        <v>355.00000000000006</v>
      </c>
      <c r="DP73" s="17">
        <f>DO73*VLOOKUP('Données projet'!$B$14,Paramètres!$A$1:$I$89,3,0)*VLOOKUP('Données projet'!$B$14,Paramètres!$A$1:$I$89,5,0)</f>
        <v>212.29000000000005</v>
      </c>
      <c r="DQ73" s="13">
        <f t="shared" si="97"/>
        <v>52.435691998503984</v>
      </c>
      <c r="DR73" s="20">
        <f t="shared" si="70"/>
        <v>461.06391356406112</v>
      </c>
      <c r="DS73" s="59">
        <f t="shared" si="71"/>
        <v>754.39724689739444</v>
      </c>
      <c r="DT73" s="59">
        <f ca="1">AVERAGE(OFFSET($DS$3,0,0,'Données projet'!$E$14+1,1))-AVERAGE(OFFSET($H$3,0,0,'Données projet'!$E$14+1,1))</f>
        <v>165.39579887388538</v>
      </c>
      <c r="DU73" s="59">
        <f t="shared" si="98"/>
        <v>155.89639262545802</v>
      </c>
      <c r="DV73" s="15">
        <f>IF(ISNA(VLOOKUP(A73,'Données projet'!$A$165:$I$185,3,0)),0,VLOOKUP(A73,'Données projet'!$A$165:$I$185,3,0))</f>
        <v>5</v>
      </c>
      <c r="DW73" s="15">
        <f>IF(ISNA(VLOOKUP(A73,'Données projet'!$A$165:$I$185,4,0)),0,VLOOKUP(A73,'Données projet'!$A$165:$I$185,4,0))</f>
        <v>38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2.4045541628463383</v>
      </c>
      <c r="EC73" s="21">
        <f>EXP(-LN(2)/2)*EC72+(1-EXP(-LN(2)/2))/(LN(2)/2)*DW73*DZ73*VLOOKUP('Données projet'!$B$14,Paramètres!$A$1:$I$89,3,0)*0.475*44/12</f>
        <v>1.3237033591629936E-5</v>
      </c>
      <c r="ED73" s="22">
        <f t="shared" si="72"/>
        <v>2.4045673998799297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623</v>
      </c>
      <c r="EH73" s="12">
        <f>VLOOKUP(A73,'Données projet'!$A$191:$I$211,9,0)</f>
        <v>15.3</v>
      </c>
      <c r="EI73" s="12">
        <f t="array" ref="EI73">INDEX(EH:EH,MIN(IF(ISNUMBER(EH73:EH269),ROW(EH73:EH269),"")))</f>
        <v>15.3</v>
      </c>
      <c r="EJ73" s="12">
        <f>IF('Données projet'!$A$192&gt;35,EJ72+EI73-ER72,IF(A73&lt;'Données projet'!$A$192,$EG$205^A73,IF(A73='Données projet'!$A$192,'Données projet'!$B$192,EJ72+EI73-ER72)))</f>
        <v>622.99999999999932</v>
      </c>
      <c r="EK73" s="17">
        <f>EJ73*VLOOKUP('Données projet'!$B$15,Paramètres!$A$1:$I$89,3,0)*VLOOKUP('Données projet'!$B$15,Paramètres!$A$1:$I$89,5,0)</f>
        <v>299.66299999999967</v>
      </c>
      <c r="EL73" s="13">
        <f t="shared" si="99"/>
        <v>71.105810710609106</v>
      </c>
      <c r="EM73" s="20">
        <f t="shared" si="73"/>
        <v>645.75567865431015</v>
      </c>
      <c r="EN73" s="59">
        <f t="shared" si="74"/>
        <v>939.08901198764352</v>
      </c>
      <c r="EO73" s="59">
        <f ca="1">AVERAGE(OFFSET($EN$3,0,0,'Données projet'!$E$15+1,1))-AVERAGE(OFFSET($H$3,0,0,'Données projet'!$E$15+1,1))</f>
        <v>252.30925789500111</v>
      </c>
      <c r="EP73" s="59">
        <f t="shared" si="100"/>
        <v>213.96033794804805</v>
      </c>
      <c r="EQ73" s="15">
        <f>IF(ISNA(VLOOKUP(A73,'Données projet'!$A$191:$I$211,3,0)),0,VLOOKUP(A73,'Données projet'!$A$191:$I$211,3,0))</f>
        <v>5</v>
      </c>
      <c r="ER73" s="15">
        <f>IF(ISNA(VLOOKUP(A73,'Données projet'!$A$191:$I$211,4,0)),0,VLOOKUP(A73,'Données projet'!$A$191:$I$211,4,0))</f>
        <v>78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2.0978564758069003</v>
      </c>
      <c r="EW73" s="21">
        <f>EXP(-LN(2)/25)*EW72+(1-EXP(-LN(2)/25))/(LN(2)/25)*Calculateur!ER73*Calculateur!ET73*VLOOKUP('Données projet'!$B$15,Paramètres!$A$1:$I$89,3,0)*0.475*44/12</f>
        <v>3.0442386672500699</v>
      </c>
      <c r="EX73" s="21">
        <f>EXP(-LN(2)/2)*EX72+(1-EXP(-LN(2)/2))/(LN(2)/2)*ER73*EU73*VLOOKUP('Données projet'!$B$15,Paramètres!$A$1:$I$89,3,0)*0.475*44/12</f>
        <v>1.3711489302549446E-5</v>
      </c>
      <c r="EY73" s="22">
        <f t="shared" si="75"/>
        <v>5.1421088545462723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623</v>
      </c>
      <c r="FC73" s="12">
        <f>VLOOKUP(A73,'Données projet'!$A$217:$I$237,9,0)</f>
        <v>15.3</v>
      </c>
      <c r="FD73" s="12">
        <f t="array" ref="FD73">INDEX(FC:FC,MIN(IF(ISNUMBER(FC73:FC269),ROW(FC73:FC269),"")))</f>
        <v>15.3</v>
      </c>
      <c r="FE73" s="12">
        <f>IF('Données projet'!$A$218&gt;35,FE72+FD73-FM72,IF(A73&lt;'Données projet'!$A$218,$FB$205^A73,IF(A73='Données projet'!$A$218,'Données projet'!$B$218,FE72+FD73-FM72)))</f>
        <v>622.99999999999932</v>
      </c>
      <c r="FF73" s="17">
        <f>FE73*VLOOKUP('Données projet'!$B$16,Paramètres!$A$1:$I$89,3,0)*VLOOKUP('Données projet'!$B$16,Paramètres!$A$1:$I$89,5,0)</f>
        <v>299.66299999999967</v>
      </c>
      <c r="FG73" s="13">
        <f t="shared" si="101"/>
        <v>71.105810710609106</v>
      </c>
      <c r="FH73" s="20">
        <f t="shared" si="76"/>
        <v>645.75567865431015</v>
      </c>
      <c r="FI73" s="59">
        <f t="shared" si="77"/>
        <v>939.08901198764352</v>
      </c>
      <c r="FJ73" s="59">
        <f ca="1">AVERAGE(OFFSET($FI$3,0,0,'Données projet'!$E$16+1,1))-AVERAGE(OFFSET($H$3,0,0,'Données projet'!$E$16+1,1))</f>
        <v>252.30925789500111</v>
      </c>
      <c r="FK73" s="59">
        <f t="shared" si="102"/>
        <v>213.96033794804805</v>
      </c>
      <c r="FL73" s="15">
        <f>IF(ISNA(VLOOKUP(A73,'Données projet'!$A$217:$I$237,3,0)),0,VLOOKUP(A73,'Données projet'!$A$217:$I$237,3,0))</f>
        <v>5</v>
      </c>
      <c r="FM73" s="15">
        <f>IF(ISNA(VLOOKUP(A73,'Données projet'!$A$217:$I$237,4,0)),0,VLOOKUP(A73,'Données projet'!$A$217:$I$237,4,0))</f>
        <v>78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2.0978564758069003</v>
      </c>
      <c r="FR73" s="21">
        <f>EXP(-LN(2)/25)*FR72+(1-EXP(-LN(2)/25))/(LN(2)/25)*Calculateur!FM73*Calculateur!FO73*VLOOKUP('Données projet'!$B$16,Paramètres!$A$1:$I$89,3,0)*0.475*44/12</f>
        <v>3.0442386672500699</v>
      </c>
      <c r="FS73" s="21">
        <f>EXP(-LN(2)/2)*FS72+(1-EXP(-LN(2)/2))/(LN(2)/2)*FM73*FP73*VLOOKUP('Données projet'!$B$16,Paramètres!$A$1:$I$89,3,0)*0.475*44/12</f>
        <v>1.3711489302549446E-5</v>
      </c>
      <c r="FT73" s="22">
        <f t="shared" si="78"/>
        <v>5.1421088545462723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>
        <f>FZ73*VLOOKUP('Données projet'!$B$17,Paramètres!$A$1:$I$89,3,0)*VLOOKUP('Données projet'!$B$17,Paramètres!$A$1:$I$89,5,0)</f>
        <v>0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117.54638373164624</v>
      </c>
      <c r="GF73" s="59">
        <f t="shared" si="104"/>
        <v>133.0740262536583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1.0018656348648509</v>
      </c>
      <c r="GM73" s="21">
        <f>EXP(-LN(2)/25)*GM72+(1-EXP(-LN(2)/25))/(LN(2)/25)*Calculateur!GH73*Calculateur!GJ73*VLOOKUP('Données projet'!$B$17,Paramètres!$A$1:$I$89,3,0)*0.475*44/12</f>
        <v>2.8552796064016577</v>
      </c>
      <c r="GN73" s="21">
        <f>EXP(-LN(2)/2)*GN72+(1-EXP(-LN(2)/2))/(LN(2)/2)*GH73*GK73*VLOOKUP('Données projet'!$B$17,Paramètres!$A$1:$I$89,3,0)*0.475*44/12</f>
        <v>3.8581110102433588E-6</v>
      </c>
      <c r="GO73" s="21">
        <f t="shared" si="81"/>
        <v>3.8571490993775188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2.8421709430404007E-14</v>
      </c>
      <c r="GV73" s="17">
        <f>GU73*VLOOKUP('Données projet'!$B$18,Paramètres!$A$1:$I$89,3,0)*VLOOKUP('Données projet'!$B$18,Paramètres!$A$1:$I$89,5,0)</f>
        <v>1.3567387213697657E-14</v>
      </c>
      <c r="GW73" s="13">
        <f t="shared" si="105"/>
        <v>2.5717320947985821E-13</v>
      </c>
      <c r="GX73" s="20">
        <f t="shared" si="82"/>
        <v>4.7153987257460977E-13</v>
      </c>
      <c r="GY73" s="59">
        <f t="shared" si="83"/>
        <v>293.33333333333377</v>
      </c>
      <c r="GZ73" s="59">
        <f ca="1">AVERAGE(OFFSET($GY$3,0,0,'Données projet'!$E$18+1,1))-AVERAGE(OFFSET($H$3,0,0,'Données projet'!$E$18+1,1))</f>
        <v>43.147469606759159</v>
      </c>
      <c r="HA73" s="59">
        <f t="shared" si="106"/>
        <v>147.46995307968473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16.331126380376091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5.2564569209689087E-7</v>
      </c>
      <c r="HJ73" s="22">
        <f t="shared" si="84"/>
        <v>16.331126906021783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162.79999999999987</v>
      </c>
      <c r="O74" s="13">
        <f>N74*VLOOKUP('Données projet'!$B$9,Paramètres!$A$1:$I$89,3,0)*VLOOKUP('Données projet'!$B$9,Paramètres!$A$1:$I$89,5,0)</f>
        <v>147.30143999999987</v>
      </c>
      <c r="P74" s="13">
        <f t="shared" si="87"/>
        <v>37.964681731408312</v>
      </c>
      <c r="Q74" s="20">
        <f t="shared" si="54"/>
        <v>322.6718286822026</v>
      </c>
      <c r="R74" s="59">
        <f t="shared" si="55"/>
        <v>616.00516201553592</v>
      </c>
      <c r="S74" s="59">
        <f ca="1">AVERAGE(OFFSET($R$3,0,0,'Données projet'!$E$9+1,1))-AVERAGE(OFFSET($H$3,0,0,'Données projet'!$E$9+1,1))</f>
        <v>138.8931001150624</v>
      </c>
      <c r="T74" s="59">
        <f t="shared" si="88"/>
        <v>48.964659354096625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3.3</v>
      </c>
      <c r="AI74" s="13">
        <f>IF('Données projet'!$A$62&gt;35,AI73+AH74-AQ73,IF(A74&lt;'Données projet'!$A$62,$AF$205^A74,IF(A74='Données projet'!$A$62,'Données projet'!$B$62,AI73+AH74-AQ73)))</f>
        <v>194.29999999999981</v>
      </c>
      <c r="AJ74" s="13">
        <f>AI74*VLOOKUP('Données projet'!$B$10,Paramètres!$A$1:$I$89,3,0)*VLOOKUP('Données projet'!$B$10,Paramètres!$A$1:$I$89,5,0)</f>
        <v>169.74047999999985</v>
      </c>
      <c r="AK74" s="13">
        <f t="shared" si="89"/>
        <v>43.03189457132202</v>
      </c>
      <c r="AL74" s="20">
        <f t="shared" si="58"/>
        <v>370.57855237838561</v>
      </c>
      <c r="AM74" s="59">
        <f t="shared" si="59"/>
        <v>663.91188571171892</v>
      </c>
      <c r="AN74" s="59">
        <f ca="1">AVERAGE(OFFSET($AM$3,0,0,'Données projet'!$E$10+1,1))-AVERAGE(OFFSET($H$3,0,0,'Données projet'!$E$10+1,1))</f>
        <v>191.94797389630673</v>
      </c>
      <c r="AO74" s="59">
        <f t="shared" si="90"/>
        <v>273.52540822767878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4.5074402170891785</v>
      </c>
      <c r="AW74" s="21">
        <f>EXP(-LN(2)/2)*AW73+(1-EXP(-LN(2)/2))/(LN(2)/2)*AQ74*AT74*VLOOKUP('Données projet'!$B$10,Paramètres!$A$1:$I$89,3,0)*0.475*44/12</f>
        <v>1.5646975645824763E-5</v>
      </c>
      <c r="AX74" s="21">
        <f t="shared" si="60"/>
        <v>5.6505572282755576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290.20000000000016</v>
      </c>
      <c r="BE74" s="13">
        <f>BD74*VLOOKUP('Données projet'!$B$11,Paramètres!$A$1:$I$89,3,0)*VLOOKUP('Données projet'!$B$11,Paramètres!$A$1:$I$89,5,0)</f>
        <v>181.08480000000012</v>
      </c>
      <c r="BF74" s="13">
        <f t="shared" si="91"/>
        <v>45.563449716262241</v>
      </c>
      <c r="BG74" s="20">
        <f t="shared" si="61"/>
        <v>394.74570158915685</v>
      </c>
      <c r="BH74" s="59">
        <f t="shared" si="62"/>
        <v>688.07903492249011</v>
      </c>
      <c r="BI74" s="59">
        <f ca="1">AVERAGE(OFFSET($BH$3,0,0,'Données projet'!$E$11+1,1))-AVERAGE(OFFSET($H$3,0,0,'Données projet'!$E$11+1,1))</f>
        <v>162.91481796710048</v>
      </c>
      <c r="BJ74" s="59">
        <f t="shared" si="92"/>
        <v>182.56192390367823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1.2348581878945653</v>
      </c>
      <c r="BQ74" s="21">
        <f>EXP(-LN(2)/25)*BQ73+(1-EXP(-LN(2)/25))/(LN(2)/25)*Calculateur!BL74*Calculateur!BN74*VLOOKUP('Données projet'!$B$11,Paramètres!$A$1:$I$89,3,0)*0.475*44/12</f>
        <v>4.9022370178152022</v>
      </c>
      <c r="BR74" s="21">
        <f>EXP(-LN(2)/2)*BR73+(1-EXP(-LN(2)/2))/(LN(2)/2)*BL74*BO74*VLOOKUP('Données projet'!$B$11,Paramètres!$A$1:$I$89,3,0)*0.475*44/12</f>
        <v>1.2117869967777953E-5</v>
      </c>
      <c r="BS74" s="22">
        <f t="shared" si="63"/>
        <v>6.1371073235797358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7.7</v>
      </c>
      <c r="BY74" s="12">
        <f>IF('Données projet'!$A$114&gt;35,BY73+BX74-CG73,IF(A74&lt;'Données projet'!$A$114,$BV$205^A74,IF(A74='Données projet'!$A$114,'Données projet'!$B$114,BY73+BX74-CG73)))</f>
        <v>265.19999999999993</v>
      </c>
      <c r="BZ74" s="13">
        <f>BY74*VLOOKUP('Données projet'!$B$12,Paramètres!$A$1:$I$89,3,0)*VLOOKUP('Données projet'!$B$12,Paramètres!$A$1:$I$89,5,0)</f>
        <v>124.11359999999996</v>
      </c>
      <c r="CA74" s="13">
        <f t="shared" si="93"/>
        <v>32.632538771598028</v>
      </c>
      <c r="CB74" s="20">
        <f t="shared" si="64"/>
        <v>272.99952502719981</v>
      </c>
      <c r="CC74" s="59">
        <f t="shared" si="65"/>
        <v>566.33285836053312</v>
      </c>
      <c r="CD74" s="59">
        <f ca="1">AVERAGE(OFFSET($CC$3,0,0,'Données projet'!$E$12+1,1))-AVERAGE(OFFSET($H$3,0,0,'Données projet'!$E$12+1,1))</f>
        <v>123.60520571614535</v>
      </c>
      <c r="CE74" s="59">
        <f t="shared" si="94"/>
        <v>119.00926870519527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0.38506626975194397</v>
      </c>
      <c r="CL74" s="21">
        <f>EXP(-LN(2)/25)*CL73+(1-EXP(-LN(2)/25))/(LN(2)/25)*Calculateur!CG74*Calculateur!CI74*VLOOKUP('Données projet'!$B$12,Paramètres!$A$1:$I$89,3,0)*0.475*44/12</f>
        <v>1.5326537961077555</v>
      </c>
      <c r="CM74" s="21">
        <f>EXP(-LN(2)/2)*CM73+(1-EXP(-LN(2)/2))/(LN(2)/2)*CG74*CJ74*VLOOKUP('Données projet'!$B$12,Paramètres!$A$1:$I$89,3,0)*0.475*44/12</f>
        <v>4.1227780785139136E-6</v>
      </c>
      <c r="CN74" s="22">
        <f t="shared" si="66"/>
        <v>1.917724188637778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162.79999999999987</v>
      </c>
      <c r="CU74" s="17">
        <f>CT74*VLOOKUP('Données projet'!$B$13,Paramètres!$A$1:$I$89,3,0)*VLOOKUP('Données projet'!$B$13,Paramètres!$A$1:$I$89,5,0)</f>
        <v>170.15855999999988</v>
      </c>
      <c r="CV74" s="13">
        <f t="shared" si="95"/>
        <v>43.125533823655857</v>
      </c>
      <c r="CW74" s="20">
        <f t="shared" si="67"/>
        <v>371.469796742867</v>
      </c>
      <c r="CX74" s="59">
        <f t="shared" si="68"/>
        <v>664.80313007620032</v>
      </c>
      <c r="CY74" s="59">
        <f ca="1">AVERAGE(OFFSET($CX$3,0,0,'Données projet'!$E$13+1,1))-AVERAGE(OFFSET($H$3,0,0,'Données projet'!$E$13+1,1))</f>
        <v>177.94336949486529</v>
      </c>
      <c r="CZ74" s="59">
        <f t="shared" si="96"/>
        <v>65.559373432574603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</v>
      </c>
      <c r="DO74" s="12">
        <f>IF('Données projet'!$A$166&gt;35,DO73+DN74-DW73,IF(A74&lt;'Données projet'!$A$166,$DL$205^A74,IF(A74='Données projet'!$A$166,'Données projet'!$B$166,DO73+DN74-DW73)))</f>
        <v>323.00000000000006</v>
      </c>
      <c r="DP74" s="17">
        <f>DO74*VLOOKUP('Données projet'!$B$14,Paramètres!$A$1:$I$89,3,0)*VLOOKUP('Données projet'!$B$14,Paramètres!$A$1:$I$89,5,0)</f>
        <v>193.15400000000005</v>
      </c>
      <c r="DQ74" s="13">
        <f t="shared" si="97"/>
        <v>48.236587915544618</v>
      </c>
      <c r="DR74" s="20">
        <f t="shared" si="70"/>
        <v>420.42194061957366</v>
      </c>
      <c r="DS74" s="59">
        <f t="shared" si="71"/>
        <v>713.75527395290692</v>
      </c>
      <c r="DT74" s="59">
        <f ca="1">AVERAGE(OFFSET($DS$3,0,0,'Données projet'!$E$14+1,1))-AVERAGE(OFFSET($H$3,0,0,'Données projet'!$E$14+1,1))</f>
        <v>165.39579887388538</v>
      </c>
      <c r="DU74" s="59">
        <f t="shared" si="98"/>
        <v>155.89639262545802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2.3388015028132974</v>
      </c>
      <c r="EC74" s="21">
        <f>EXP(-LN(2)/2)*EC73+(1-EXP(-LN(2)/2))/(LN(2)/2)*DW74*DZ74*VLOOKUP('Données projet'!$B$14,Paramètres!$A$1:$I$89,3,0)*0.475*44/12</f>
        <v>9.3599962154356482E-6</v>
      </c>
      <c r="ED74" s="22">
        <f t="shared" si="72"/>
        <v>2.3388108628095128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13.3</v>
      </c>
      <c r="EJ74" s="12">
        <f>IF('Données projet'!$A$192&gt;35,EJ73+EI74-ER73,IF(A74&lt;'Données projet'!$A$192,$EG$205^A74,IF(A74='Données projet'!$A$192,'Données projet'!$B$192,EJ73+EI74-ER73)))</f>
        <v>558.29999999999927</v>
      </c>
      <c r="EK74" s="17">
        <f>EJ74*VLOOKUP('Données projet'!$B$15,Paramètres!$A$1:$I$89,3,0)*VLOOKUP('Données projet'!$B$15,Paramètres!$A$1:$I$89,5,0)</f>
        <v>268.54229999999967</v>
      </c>
      <c r="EL74" s="13">
        <f t="shared" si="99"/>
        <v>64.53981115621778</v>
      </c>
      <c r="EM74" s="20">
        <f t="shared" si="73"/>
        <v>580.11801026374542</v>
      </c>
      <c r="EN74" s="59">
        <f t="shared" si="74"/>
        <v>873.45134359707868</v>
      </c>
      <c r="EO74" s="59">
        <f ca="1">AVERAGE(OFFSET($EN$3,0,0,'Données projet'!$E$15+1,1))-AVERAGE(OFFSET($H$3,0,0,'Données projet'!$E$15+1,1))</f>
        <v>252.30925789500111</v>
      </c>
      <c r="EP74" s="59">
        <f t="shared" si="100"/>
        <v>213.96033794804805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2.0567187898824306</v>
      </c>
      <c r="EW74" s="21">
        <f>EXP(-LN(2)/25)*EW73+(1-EXP(-LN(2)/25))/(LN(2)/25)*Calculateur!ER74*Calculateur!ET74*VLOOKUP('Données projet'!$B$15,Paramètres!$A$1:$I$89,3,0)*0.475*44/12</f>
        <v>2.9609938008045629</v>
      </c>
      <c r="EX74" s="21">
        <f>EXP(-LN(2)/2)*EX73+(1-EXP(-LN(2)/2))/(LN(2)/2)*ER74*EU74*VLOOKUP('Données projet'!$B$15,Paramètres!$A$1:$I$89,3,0)*0.475*44/12</f>
        <v>9.6954870659995181E-6</v>
      </c>
      <c r="EY74" s="22">
        <f t="shared" si="75"/>
        <v>5.0177222861740596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13.3</v>
      </c>
      <c r="FE74" s="12">
        <f>IF('Données projet'!$A$218&gt;35,FE73+FD74-FM73,IF(A74&lt;'Données projet'!$A$218,$FB$205^A74,IF(A74='Données projet'!$A$218,'Données projet'!$B$218,FE73+FD74-FM73)))</f>
        <v>558.29999999999927</v>
      </c>
      <c r="FF74" s="17">
        <f>FE74*VLOOKUP('Données projet'!$B$16,Paramètres!$A$1:$I$89,3,0)*VLOOKUP('Données projet'!$B$16,Paramètres!$A$1:$I$89,5,0)</f>
        <v>268.54229999999967</v>
      </c>
      <c r="FG74" s="13">
        <f t="shared" si="101"/>
        <v>64.53981115621778</v>
      </c>
      <c r="FH74" s="20">
        <f t="shared" si="76"/>
        <v>580.11801026374542</v>
      </c>
      <c r="FI74" s="59">
        <f t="shared" si="77"/>
        <v>873.45134359707868</v>
      </c>
      <c r="FJ74" s="59">
        <f ca="1">AVERAGE(OFFSET($FI$3,0,0,'Données projet'!$E$16+1,1))-AVERAGE(OFFSET($H$3,0,0,'Données projet'!$E$16+1,1))</f>
        <v>252.30925789500111</v>
      </c>
      <c r="FK74" s="59">
        <f t="shared" si="102"/>
        <v>213.96033794804805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2.0567187898824306</v>
      </c>
      <c r="FR74" s="21">
        <f>EXP(-LN(2)/25)*FR73+(1-EXP(-LN(2)/25))/(LN(2)/25)*Calculateur!FM74*Calculateur!FO74*VLOOKUP('Données projet'!$B$16,Paramètres!$A$1:$I$89,3,0)*0.475*44/12</f>
        <v>2.9609938008045629</v>
      </c>
      <c r="FS74" s="21">
        <f>EXP(-LN(2)/2)*FS73+(1-EXP(-LN(2)/2))/(LN(2)/2)*FM74*FP74*VLOOKUP('Données projet'!$B$16,Paramètres!$A$1:$I$89,3,0)*0.475*44/12</f>
        <v>9.6954870659995181E-6</v>
      </c>
      <c r="FT74" s="22">
        <f t="shared" si="78"/>
        <v>5.0177222861740596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117.54638373164624</v>
      </c>
      <c r="GF74" s="59">
        <f t="shared" si="104"/>
        <v>133.0740262536583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0.98221966084284951</v>
      </c>
      <c r="GM74" s="21">
        <f>EXP(-LN(2)/25)*GM73+(1-EXP(-LN(2)/25))/(LN(2)/25)*Calculateur!GH74*Calculateur!GJ74*VLOOKUP('Données projet'!$B$17,Paramètres!$A$1:$I$89,3,0)*0.475*44/12</f>
        <v>2.7772018354119758</v>
      </c>
      <c r="GN74" s="21">
        <f>EXP(-LN(2)/2)*GN73+(1-EXP(-LN(2)/2))/(LN(2)/2)*GH74*GK74*VLOOKUP('Données projet'!$B$17,Paramètres!$A$1:$I$89,3,0)*0.475*44/12</f>
        <v>2.7280964579135605E-6</v>
      </c>
      <c r="GO74" s="21">
        <f t="shared" si="81"/>
        <v>3.7594242243512834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2.8421709430404007E-14</v>
      </c>
      <c r="GV74" s="17">
        <f>GU74*VLOOKUP('Données projet'!$B$18,Paramètres!$A$1:$I$89,3,0)*VLOOKUP('Données projet'!$B$18,Paramètres!$A$1:$I$89,5,0)</f>
        <v>1.3567387213697657E-14</v>
      </c>
      <c r="GW74" s="13">
        <f t="shared" si="105"/>
        <v>2.5717320947985821E-13</v>
      </c>
      <c r="GX74" s="20">
        <f t="shared" si="82"/>
        <v>4.7153987257460977E-13</v>
      </c>
      <c r="GY74" s="59">
        <f t="shared" si="83"/>
        <v>293.33333333333377</v>
      </c>
      <c r="GZ74" s="59">
        <f ca="1">AVERAGE(OFFSET($GY$3,0,0,'Données projet'!$E$18+1,1))-AVERAGE(OFFSET($H$3,0,0,'Données projet'!$E$18+1,1))</f>
        <v>43.147469606759159</v>
      </c>
      <c r="HA74" s="59">
        <f t="shared" si="106"/>
        <v>147.46995307968473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16.010882953060442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3.7168763338320756E-7</v>
      </c>
      <c r="HJ74" s="22">
        <f t="shared" si="84"/>
        <v>16.010883324748075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167.59999999999988</v>
      </c>
      <c r="O75" s="13">
        <f>N75*VLOOKUP('Données projet'!$B$9,Paramètres!$A$1:$I$89,3,0)*VLOOKUP('Données projet'!$B$9,Paramètres!$A$1:$I$89,5,0)</f>
        <v>151.6444799999999</v>
      </c>
      <c r="P75" s="13">
        <f t="shared" si="87"/>
        <v>38.952062117783541</v>
      </c>
      <c r="Q75" s="20">
        <f t="shared" si="54"/>
        <v>331.95564418847277</v>
      </c>
      <c r="R75" s="59">
        <f t="shared" si="55"/>
        <v>625.28897752180615</v>
      </c>
      <c r="S75" s="59">
        <f ca="1">AVERAGE(OFFSET($R$3,0,0,'Données projet'!$E$9+1,1))-AVERAGE(OFFSET($H$3,0,0,'Données projet'!$E$9+1,1))</f>
        <v>138.8931001150624</v>
      </c>
      <c r="T75" s="59">
        <f t="shared" si="88"/>
        <v>48.964659354096625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3.3</v>
      </c>
      <c r="AI75" s="13">
        <f>IF('Données projet'!$A$62&gt;35,AI74+AH75-AQ74,IF(A75&lt;'Données projet'!$A$62,$AF$205^A75,IF(A75='Données projet'!$A$62,'Données projet'!$B$62,AI74+AH75-AQ74)))</f>
        <v>197.59999999999982</v>
      </c>
      <c r="AJ75" s="13">
        <f>AI75*VLOOKUP('Données projet'!$B$10,Paramètres!$A$1:$I$89,3,0)*VLOOKUP('Données projet'!$B$10,Paramètres!$A$1:$I$89,5,0)</f>
        <v>172.62335999999985</v>
      </c>
      <c r="AK75" s="13">
        <f t="shared" si="89"/>
        <v>43.677044279986035</v>
      </c>
      <c r="AL75" s="20">
        <f t="shared" si="58"/>
        <v>376.72320412097542</v>
      </c>
      <c r="AM75" s="59">
        <f t="shared" si="59"/>
        <v>670.05653745430868</v>
      </c>
      <c r="AN75" s="59">
        <f ca="1">AVERAGE(OFFSET($AM$3,0,0,'Données projet'!$E$10+1,1))-AVERAGE(OFFSET($H$3,0,0,'Données projet'!$E$10+1,1))</f>
        <v>191.94797389630673</v>
      </c>
      <c r="AO75" s="59">
        <f t="shared" si="90"/>
        <v>273.52540822767878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4.3841840273168957</v>
      </c>
      <c r="AW75" s="21">
        <f>EXP(-LN(2)/2)*AW74+(1-EXP(-LN(2)/2))/(LN(2)/2)*AQ75*AT75*VLOOKUP('Données projet'!$B$10,Paramètres!$A$1:$I$89,3,0)*0.475*44/12</f>
        <v>1.1064082584223449E-5</v>
      </c>
      <c r="AX75" s="21">
        <f t="shared" si="60"/>
        <v>5.5048809350810286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294.40000000000015</v>
      </c>
      <c r="BE75" s="13">
        <f>BD75*VLOOKUP('Données projet'!$B$11,Paramètres!$A$1:$I$89,3,0)*VLOOKUP('Données projet'!$B$11,Paramètres!$A$1:$I$89,5,0)</f>
        <v>183.70560000000009</v>
      </c>
      <c r="BF75" s="13">
        <f t="shared" si="91"/>
        <v>46.145633597806345</v>
      </c>
      <c r="BG75" s="20">
        <f t="shared" si="61"/>
        <v>400.32423184951284</v>
      </c>
      <c r="BH75" s="59">
        <f t="shared" si="62"/>
        <v>693.65756518284616</v>
      </c>
      <c r="BI75" s="59">
        <f ca="1">AVERAGE(OFFSET($BH$3,0,0,'Données projet'!$E$11+1,1))-AVERAGE(OFFSET($H$3,0,0,'Données projet'!$E$11+1,1))</f>
        <v>162.91481796710048</v>
      </c>
      <c r="BJ75" s="59">
        <f t="shared" si="92"/>
        <v>182.56192390367823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1.2106433720190761</v>
      </c>
      <c r="BQ75" s="21">
        <f>EXP(-LN(2)/25)*BQ74+(1-EXP(-LN(2)/25))/(LN(2)/25)*Calculateur!BL75*Calculateur!BN75*VLOOKUP('Données projet'!$B$11,Paramètres!$A$1:$I$89,3,0)*0.475*44/12</f>
        <v>4.7681850887656045</v>
      </c>
      <c r="BR75" s="21">
        <f>EXP(-LN(2)/2)*BR74+(1-EXP(-LN(2)/2))/(LN(2)/2)*BL75*BO75*VLOOKUP('Données projet'!$B$11,Paramètres!$A$1:$I$89,3,0)*0.475*44/12</f>
        <v>8.5686280277526003E-6</v>
      </c>
      <c r="BS75" s="22">
        <f t="shared" si="63"/>
        <v>5.9788370294127082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7.7</v>
      </c>
      <c r="BY75" s="12">
        <f>IF('Données projet'!$A$114&gt;35,BY74+BX75-CG74,IF(A75&lt;'Données projet'!$A$114,$BV$205^A75,IF(A75='Données projet'!$A$114,'Données projet'!$B$114,BY74+BX75-CG74)))</f>
        <v>272.89999999999992</v>
      </c>
      <c r="BZ75" s="13">
        <f>BY75*VLOOKUP('Données projet'!$B$12,Paramètres!$A$1:$I$89,3,0)*VLOOKUP('Données projet'!$B$12,Paramètres!$A$1:$I$89,5,0)</f>
        <v>127.71719999999996</v>
      </c>
      <c r="CA75" s="13">
        <f t="shared" si="93"/>
        <v>33.468328632580821</v>
      </c>
      <c r="CB75" s="20">
        <f t="shared" si="64"/>
        <v>280.73146236841148</v>
      </c>
      <c r="CC75" s="59">
        <f t="shared" si="65"/>
        <v>574.06479570174474</v>
      </c>
      <c r="CD75" s="59">
        <f ca="1">AVERAGE(OFFSET($CC$3,0,0,'Données projet'!$E$12+1,1))-AVERAGE(OFFSET($H$3,0,0,'Données projet'!$E$12+1,1))</f>
        <v>123.60520571614535</v>
      </c>
      <c r="CE75" s="59">
        <f t="shared" si="94"/>
        <v>119.00926870519527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0.3775153550693417</v>
      </c>
      <c r="CL75" s="21">
        <f>EXP(-LN(2)/25)*CL74+(1-EXP(-LN(2)/25))/(LN(2)/25)*Calculateur!CG75*Calculateur!CI75*VLOOKUP('Données projet'!$B$12,Paramètres!$A$1:$I$89,3,0)*0.475*44/12</f>
        <v>1.4907432974544288</v>
      </c>
      <c r="CM75" s="21">
        <f>EXP(-LN(2)/2)*CM74+(1-EXP(-LN(2)/2))/(LN(2)/2)*CG75*CJ75*VLOOKUP('Données projet'!$B$12,Paramètres!$A$1:$I$89,3,0)*0.475*44/12</f>
        <v>2.9152443366444328E-6</v>
      </c>
      <c r="CN75" s="22">
        <f t="shared" si="66"/>
        <v>1.8682615677681071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167.59999999999988</v>
      </c>
      <c r="CU75" s="17">
        <f>CT75*VLOOKUP('Données projet'!$B$13,Paramètres!$A$1:$I$89,3,0)*VLOOKUP('Données projet'!$B$13,Paramètres!$A$1:$I$89,5,0)</f>
        <v>175.17551999999989</v>
      </c>
      <c r="CV75" s="13">
        <f t="shared" si="95"/>
        <v>44.247136963929556</v>
      </c>
      <c r="CW75" s="20">
        <f t="shared" si="67"/>
        <v>382.16112754551045</v>
      </c>
      <c r="CX75" s="59">
        <f t="shared" si="68"/>
        <v>675.49446087884371</v>
      </c>
      <c r="CY75" s="59">
        <f ca="1">AVERAGE(OFFSET($CX$3,0,0,'Données projet'!$E$13+1,1))-AVERAGE(OFFSET($H$3,0,0,'Données projet'!$E$13+1,1))</f>
        <v>177.94336949486529</v>
      </c>
      <c r="CZ75" s="59">
        <f t="shared" si="96"/>
        <v>65.559373432574603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</v>
      </c>
      <c r="DO75" s="12">
        <f>IF('Données projet'!$A$166&gt;35,DO74+DN75-DW74,IF(A75&lt;'Données projet'!$A$166,$DL$205^A75,IF(A75='Données projet'!$A$166,'Données projet'!$B$166,DO74+DN75-DW74)))</f>
        <v>329.00000000000006</v>
      </c>
      <c r="DP75" s="17">
        <f>DO75*VLOOKUP('Données projet'!$B$14,Paramètres!$A$1:$I$89,3,0)*VLOOKUP('Données projet'!$B$14,Paramètres!$A$1:$I$89,5,0)</f>
        <v>196.74200000000005</v>
      </c>
      <c r="DQ75" s="13">
        <f t="shared" si="97"/>
        <v>49.027474951150033</v>
      </c>
      <c r="DR75" s="20">
        <f t="shared" si="70"/>
        <v>428.04850220658636</v>
      </c>
      <c r="DS75" s="59">
        <f t="shared" si="71"/>
        <v>721.38183553991962</v>
      </c>
      <c r="DT75" s="59">
        <f ca="1">AVERAGE(OFFSET($DS$3,0,0,'Données projet'!$E$14+1,1))-AVERAGE(OFFSET($H$3,0,0,'Données projet'!$E$14+1,1))</f>
        <v>165.39579887388538</v>
      </c>
      <c r="DU75" s="59">
        <f t="shared" si="98"/>
        <v>155.89639262545802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2.2748468527266419</v>
      </c>
      <c r="EC75" s="21">
        <f>EXP(-LN(2)/2)*EC74+(1-EXP(-LN(2)/2))/(LN(2)/2)*DW75*DZ75*VLOOKUP('Données projet'!$B$14,Paramètres!$A$1:$I$89,3,0)*0.475*44/12</f>
        <v>6.618516795814968E-6</v>
      </c>
      <c r="ED75" s="22">
        <f t="shared" si="72"/>
        <v>2.2748534712434378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13.3</v>
      </c>
      <c r="EJ75" s="12">
        <f>IF('Données projet'!$A$192&gt;35,EJ74+EI75-ER74,IF(A75&lt;'Données projet'!$A$192,$EG$205^A75,IF(A75='Données projet'!$A$192,'Données projet'!$B$192,EJ74+EI75-ER74)))</f>
        <v>571.59999999999923</v>
      </c>
      <c r="EK75" s="17">
        <f>EJ75*VLOOKUP('Données projet'!$B$15,Paramètres!$A$1:$I$89,3,0)*VLOOKUP('Données projet'!$B$15,Paramètres!$A$1:$I$89,5,0)</f>
        <v>274.93959999999964</v>
      </c>
      <c r="EL75" s="13">
        <f t="shared" si="99"/>
        <v>65.896468407085521</v>
      </c>
      <c r="EM75" s="20">
        <f t="shared" si="73"/>
        <v>593.62281914234006</v>
      </c>
      <c r="EN75" s="59">
        <f t="shared" si="74"/>
        <v>886.95615247567343</v>
      </c>
      <c r="EO75" s="59">
        <f ca="1">AVERAGE(OFFSET($EN$3,0,0,'Données projet'!$E$15+1,1))-AVERAGE(OFFSET($H$3,0,0,'Données projet'!$E$15+1,1))</f>
        <v>252.30925789500111</v>
      </c>
      <c r="EP75" s="59">
        <f t="shared" si="100"/>
        <v>213.96033794804805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2.0163877888874291</v>
      </c>
      <c r="EW75" s="21">
        <f>EXP(-LN(2)/25)*EW74+(1-EXP(-LN(2)/25))/(LN(2)/25)*Calculateur!ER75*Calculateur!ET75*VLOOKUP('Données projet'!$B$15,Paramètres!$A$1:$I$89,3,0)*0.475*44/12</f>
        <v>2.8800252696096655</v>
      </c>
      <c r="EX75" s="21">
        <f>EXP(-LN(2)/2)*EX74+(1-EXP(-LN(2)/2))/(LN(2)/2)*ER75*EU75*VLOOKUP('Données projet'!$B$15,Paramètres!$A$1:$I$89,3,0)*0.475*44/12</f>
        <v>6.855744651274723E-6</v>
      </c>
      <c r="EY75" s="22">
        <f t="shared" si="75"/>
        <v>4.8964199142417453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13.3</v>
      </c>
      <c r="FE75" s="12">
        <f>IF('Données projet'!$A$218&gt;35,FE74+FD75-FM74,IF(A75&lt;'Données projet'!$A$218,$FB$205^A75,IF(A75='Données projet'!$A$218,'Données projet'!$B$218,FE74+FD75-FM74)))</f>
        <v>571.59999999999923</v>
      </c>
      <c r="FF75" s="17">
        <f>FE75*VLOOKUP('Données projet'!$B$16,Paramètres!$A$1:$I$89,3,0)*VLOOKUP('Données projet'!$B$16,Paramètres!$A$1:$I$89,5,0)</f>
        <v>274.93959999999964</v>
      </c>
      <c r="FG75" s="13">
        <f t="shared" si="101"/>
        <v>65.896468407085521</v>
      </c>
      <c r="FH75" s="20">
        <f t="shared" si="76"/>
        <v>593.62281914234006</v>
      </c>
      <c r="FI75" s="59">
        <f t="shared" si="77"/>
        <v>886.95615247567343</v>
      </c>
      <c r="FJ75" s="59">
        <f ca="1">AVERAGE(OFFSET($FI$3,0,0,'Données projet'!$E$16+1,1))-AVERAGE(OFFSET($H$3,0,0,'Données projet'!$E$16+1,1))</f>
        <v>252.30925789500111</v>
      </c>
      <c r="FK75" s="59">
        <f t="shared" si="102"/>
        <v>213.96033794804805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2.0163877888874291</v>
      </c>
      <c r="FR75" s="21">
        <f>EXP(-LN(2)/25)*FR74+(1-EXP(-LN(2)/25))/(LN(2)/25)*Calculateur!FM75*Calculateur!FO75*VLOOKUP('Données projet'!$B$16,Paramètres!$A$1:$I$89,3,0)*0.475*44/12</f>
        <v>2.8800252696096655</v>
      </c>
      <c r="FS75" s="21">
        <f>EXP(-LN(2)/2)*FS74+(1-EXP(-LN(2)/2))/(LN(2)/2)*FM75*FP75*VLOOKUP('Données projet'!$B$16,Paramètres!$A$1:$I$89,3,0)*0.475*44/12</f>
        <v>6.855744651274723E-6</v>
      </c>
      <c r="FT75" s="22">
        <f t="shared" si="78"/>
        <v>4.8964199142417453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117.54638373164624</v>
      </c>
      <c r="GF75" s="59">
        <f t="shared" si="104"/>
        <v>133.0740262536583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0.96295893238855867</v>
      </c>
      <c r="GM75" s="21">
        <f>EXP(-LN(2)/25)*GM74+(1-EXP(-LN(2)/25))/(LN(2)/25)*Calculateur!GH75*Calculateur!GJ75*VLOOKUP('Données projet'!$B$17,Paramètres!$A$1:$I$89,3,0)*0.475*44/12</f>
        <v>2.701259105175938</v>
      </c>
      <c r="GN75" s="21">
        <f>EXP(-LN(2)/2)*GN74+(1-EXP(-LN(2)/2))/(LN(2)/2)*GH75*GK75*VLOOKUP('Données projet'!$B$17,Paramètres!$A$1:$I$89,3,0)*0.475*44/12</f>
        <v>1.9290555051216794E-6</v>
      </c>
      <c r="GO75" s="21">
        <f t="shared" si="81"/>
        <v>3.6642199666200019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2.8421709430404007E-14</v>
      </c>
      <c r="GV75" s="17">
        <f>GU75*VLOOKUP('Données projet'!$B$18,Paramètres!$A$1:$I$89,3,0)*VLOOKUP('Données projet'!$B$18,Paramètres!$A$1:$I$89,5,0)</f>
        <v>1.3567387213697657E-14</v>
      </c>
      <c r="GW75" s="13">
        <f t="shared" si="105"/>
        <v>2.5717320947985821E-13</v>
      </c>
      <c r="GX75" s="20">
        <f t="shared" si="82"/>
        <v>4.7153987257460977E-13</v>
      </c>
      <c r="GY75" s="59">
        <f t="shared" si="83"/>
        <v>293.33333333333377</v>
      </c>
      <c r="GZ75" s="59">
        <f ca="1">AVERAGE(OFFSET($GY$3,0,0,'Données projet'!$E$18+1,1))-AVERAGE(OFFSET($H$3,0,0,'Données projet'!$E$18+1,1))</f>
        <v>43.147469606759159</v>
      </c>
      <c r="HA75" s="59">
        <f t="shared" si="106"/>
        <v>147.46995307968473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15.696919304025247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2.6282284604844543E-7</v>
      </c>
      <c r="HJ75" s="22">
        <f t="shared" si="84"/>
        <v>15.696919566848093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172.39999999999989</v>
      </c>
      <c r="O76" s="13">
        <f>N76*VLOOKUP('Données projet'!$B$9,Paramètres!$A$1:$I$89,3,0)*VLOOKUP('Données projet'!$B$9,Paramètres!$A$1:$I$89,5,0)</f>
        <v>155.9875199999999</v>
      </c>
      <c r="P76" s="13">
        <f t="shared" si="87"/>
        <v>39.936155927663087</v>
      </c>
      <c r="Q76" s="20">
        <f t="shared" si="54"/>
        <v>341.23373557401305</v>
      </c>
      <c r="R76" s="59">
        <f t="shared" si="55"/>
        <v>634.56706890734631</v>
      </c>
      <c r="S76" s="59">
        <f ca="1">AVERAGE(OFFSET($R$3,0,0,'Données projet'!$E$9+1,1))-AVERAGE(OFFSET($H$3,0,0,'Données projet'!$E$9+1,1))</f>
        <v>138.8931001150624</v>
      </c>
      <c r="T76" s="59">
        <f t="shared" si="88"/>
        <v>48.964659354096625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3.3</v>
      </c>
      <c r="AI76" s="13">
        <f>IF('Données projet'!$A$62&gt;35,AI75+AH76-AQ75,IF(A76&lt;'Données projet'!$A$62,$AF$205^A76,IF(A76='Données projet'!$A$62,'Données projet'!$B$62,AI75+AH76-AQ75)))</f>
        <v>200.89999999999984</v>
      </c>
      <c r="AJ76" s="13">
        <f>AI76*VLOOKUP('Données projet'!$B$10,Paramètres!$A$1:$I$89,3,0)*VLOOKUP('Données projet'!$B$10,Paramètres!$A$1:$I$89,5,0)</f>
        <v>175.50623999999988</v>
      </c>
      <c r="AK76" s="13">
        <f t="shared" si="89"/>
        <v>44.320941021227853</v>
      </c>
      <c r="AL76" s="20">
        <f t="shared" si="58"/>
        <v>382.86567361197154</v>
      </c>
      <c r="AM76" s="59">
        <f t="shared" si="59"/>
        <v>676.19900694530486</v>
      </c>
      <c r="AN76" s="59">
        <f ca="1">AVERAGE(OFFSET($AM$3,0,0,'Données projet'!$E$10+1,1))-AVERAGE(OFFSET($H$3,0,0,'Données projet'!$E$10+1,1))</f>
        <v>191.94797389630673</v>
      </c>
      <c r="AO76" s="59">
        <f t="shared" si="90"/>
        <v>273.52540822767878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4.2642982845356974</v>
      </c>
      <c r="AW76" s="21">
        <f>EXP(-LN(2)/2)*AW75+(1-EXP(-LN(2)/2))/(LN(2)/2)*AQ76*AT76*VLOOKUP('Données projet'!$B$10,Paramètres!$A$1:$I$89,3,0)*0.475*44/12</f>
        <v>7.8234878229123813E-6</v>
      </c>
      <c r="AX76" s="21">
        <f t="shared" si="60"/>
        <v>5.3630159858613426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298.60000000000014</v>
      </c>
      <c r="BE76" s="13">
        <f>BD76*VLOOKUP('Données projet'!$B$11,Paramètres!$A$1:$I$89,3,0)*VLOOKUP('Données projet'!$B$11,Paramètres!$A$1:$I$89,5,0)</f>
        <v>186.32640000000009</v>
      </c>
      <c r="BF76" s="13">
        <f t="shared" si="91"/>
        <v>46.726851473680846</v>
      </c>
      <c r="BG76" s="20">
        <f t="shared" si="61"/>
        <v>405.90107964999424</v>
      </c>
      <c r="BH76" s="59">
        <f t="shared" si="62"/>
        <v>699.2344129833275</v>
      </c>
      <c r="BI76" s="59">
        <f ca="1">AVERAGE(OFFSET($BH$3,0,0,'Données projet'!$E$11+1,1))-AVERAGE(OFFSET($H$3,0,0,'Données projet'!$E$11+1,1))</f>
        <v>162.91481796710048</v>
      </c>
      <c r="BJ76" s="59">
        <f t="shared" si="92"/>
        <v>182.56192390367823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1.186903393913326</v>
      </c>
      <c r="BQ76" s="21">
        <f>EXP(-LN(2)/25)*BQ75+(1-EXP(-LN(2)/25))/(LN(2)/25)*Calculateur!BL76*Calculateur!BN76*VLOOKUP('Données projet'!$B$11,Paramètres!$A$1:$I$89,3,0)*0.475*44/12</f>
        <v>4.6377988167653532</v>
      </c>
      <c r="BR76" s="21">
        <f>EXP(-LN(2)/2)*BR75+(1-EXP(-LN(2)/2))/(LN(2)/2)*BL76*BO76*VLOOKUP('Données projet'!$B$11,Paramètres!$A$1:$I$89,3,0)*0.475*44/12</f>
        <v>6.0589349838889764E-6</v>
      </c>
      <c r="BS76" s="22">
        <f t="shared" si="63"/>
        <v>5.8247082696136632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7.7</v>
      </c>
      <c r="BY76" s="12">
        <f>IF('Données projet'!$A$114&gt;35,BY75+BX76-CG75,IF(A76&lt;'Données projet'!$A$114,$BV$205^A76,IF(A76='Données projet'!$A$114,'Données projet'!$B$114,BY75+BX76-CG75)))</f>
        <v>280.59999999999991</v>
      </c>
      <c r="BZ76" s="13">
        <f>BY76*VLOOKUP('Données projet'!$B$12,Paramètres!$A$1:$I$89,3,0)*VLOOKUP('Données projet'!$B$12,Paramètres!$A$1:$I$89,5,0)</f>
        <v>131.32079999999996</v>
      </c>
      <c r="CA76" s="13">
        <f t="shared" si="93"/>
        <v>34.301377644087616</v>
      </c>
      <c r="CB76" s="20">
        <f t="shared" si="64"/>
        <v>288.45862606345253</v>
      </c>
      <c r="CC76" s="59">
        <f t="shared" si="65"/>
        <v>581.79195939678584</v>
      </c>
      <c r="CD76" s="59">
        <f ca="1">AVERAGE(OFFSET($CC$3,0,0,'Données projet'!$E$12+1,1))-AVERAGE(OFFSET($H$3,0,0,'Données projet'!$E$12+1,1))</f>
        <v>123.60520571614535</v>
      </c>
      <c r="CE76" s="59">
        <f t="shared" si="94"/>
        <v>119.00926870519527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0.37011250921806205</v>
      </c>
      <c r="CL76" s="21">
        <f>EXP(-LN(2)/25)*CL75+(1-EXP(-LN(2)/25))/(LN(2)/25)*Calculateur!CG76*Calculateur!CI76*VLOOKUP('Données projet'!$B$12,Paramètres!$A$1:$I$89,3,0)*0.475*44/12</f>
        <v>1.4499788435907546</v>
      </c>
      <c r="CM76" s="21">
        <f>EXP(-LN(2)/2)*CM75+(1-EXP(-LN(2)/2))/(LN(2)/2)*CG76*CJ76*VLOOKUP('Données projet'!$B$12,Paramètres!$A$1:$I$89,3,0)*0.475*44/12</f>
        <v>2.0613890392569568E-6</v>
      </c>
      <c r="CN76" s="22">
        <f t="shared" si="66"/>
        <v>1.8200934141978558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172.39999999999989</v>
      </c>
      <c r="CU76" s="17">
        <f>CT76*VLOOKUP('Données projet'!$B$13,Paramètres!$A$1:$I$89,3,0)*VLOOKUP('Données projet'!$B$13,Paramètres!$A$1:$I$89,5,0)</f>
        <v>180.1924799999999</v>
      </c>
      <c r="CV76" s="13">
        <f t="shared" si="95"/>
        <v>45.365006756276593</v>
      </c>
      <c r="CW76" s="20">
        <f t="shared" si="67"/>
        <v>392.84595610051491</v>
      </c>
      <c r="CX76" s="59">
        <f t="shared" si="68"/>
        <v>686.17928943384823</v>
      </c>
      <c r="CY76" s="59">
        <f ca="1">AVERAGE(OFFSET($CX$3,0,0,'Données projet'!$E$13+1,1))-AVERAGE(OFFSET($H$3,0,0,'Données projet'!$E$13+1,1))</f>
        <v>177.94336949486529</v>
      </c>
      <c r="CZ76" s="59">
        <f t="shared" si="96"/>
        <v>65.559373432574603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</v>
      </c>
      <c r="DO76" s="12">
        <f>IF('Données projet'!$A$166&gt;35,DO75+DN76-DW75,IF(A76&lt;'Données projet'!$A$166,$DL$205^A76,IF(A76='Données projet'!$A$166,'Données projet'!$B$166,DO75+DN76-DW75)))</f>
        <v>335.00000000000006</v>
      </c>
      <c r="DP76" s="17">
        <f>DO76*VLOOKUP('Données projet'!$B$14,Paramètres!$A$1:$I$89,3,0)*VLOOKUP('Données projet'!$B$14,Paramètres!$A$1:$I$89,5,0)</f>
        <v>200.33000000000004</v>
      </c>
      <c r="DQ76" s="13">
        <f t="shared" si="97"/>
        <v>49.81668477706851</v>
      </c>
      <c r="DR76" s="20">
        <f t="shared" si="70"/>
        <v>435.67214265339436</v>
      </c>
      <c r="DS76" s="59">
        <f t="shared" si="71"/>
        <v>729.00547598672767</v>
      </c>
      <c r="DT76" s="59">
        <f ca="1">AVERAGE(OFFSET($DS$3,0,0,'Données projet'!$E$14+1,1))-AVERAGE(OFFSET($H$3,0,0,'Données projet'!$E$14+1,1))</f>
        <v>165.39579887388538</v>
      </c>
      <c r="DU76" s="59">
        <f t="shared" si="98"/>
        <v>155.89639262545802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2.2126410459098351</v>
      </c>
      <c r="EC76" s="21">
        <f>EXP(-LN(2)/2)*EC75+(1-EXP(-LN(2)/2))/(LN(2)/2)*DW76*DZ76*VLOOKUP('Données projet'!$B$14,Paramètres!$A$1:$I$89,3,0)*0.475*44/12</f>
        <v>4.6799981077178241E-6</v>
      </c>
      <c r="ED76" s="22">
        <f t="shared" si="72"/>
        <v>2.2126457259079428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13.3</v>
      </c>
      <c r="EJ76" s="12">
        <f>IF('Données projet'!$A$192&gt;35,EJ75+EI76-ER75,IF(A76&lt;'Données projet'!$A$192,$EG$205^A76,IF(A76='Données projet'!$A$192,'Données projet'!$B$192,EJ75+EI76-ER75)))</f>
        <v>584.89999999999918</v>
      </c>
      <c r="EK76" s="17">
        <f>EJ76*VLOOKUP('Données projet'!$B$15,Paramètres!$A$1:$I$89,3,0)*VLOOKUP('Données projet'!$B$15,Paramètres!$A$1:$I$89,5,0)</f>
        <v>281.33689999999962</v>
      </c>
      <c r="EL76" s="13">
        <f t="shared" si="99"/>
        <v>67.249455912229507</v>
      </c>
      <c r="EM76" s="20">
        <f t="shared" si="73"/>
        <v>607.1212365471323</v>
      </c>
      <c r="EN76" s="59">
        <f t="shared" si="74"/>
        <v>900.45456988046567</v>
      </c>
      <c r="EO76" s="59">
        <f ca="1">AVERAGE(OFFSET($EN$3,0,0,'Données projet'!$E$15+1,1))-AVERAGE(OFFSET($H$3,0,0,'Données projet'!$E$15+1,1))</f>
        <v>252.30925789500111</v>
      </c>
      <c r="EP76" s="59">
        <f t="shared" si="100"/>
        <v>213.96033794804805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1.9768476542224578</v>
      </c>
      <c r="EW76" s="21">
        <f>EXP(-LN(2)/25)*EW75+(1-EXP(-LN(2)/25))/(LN(2)/25)*Calculateur!ER76*Calculateur!ET76*VLOOKUP('Données projet'!$B$15,Paramètres!$A$1:$I$89,3,0)*0.475*44/12</f>
        <v>2.8012708271582425</v>
      </c>
      <c r="EX76" s="21">
        <f>EXP(-LN(2)/2)*EX75+(1-EXP(-LN(2)/2))/(LN(2)/2)*ER76*EU76*VLOOKUP('Données projet'!$B$15,Paramètres!$A$1:$I$89,3,0)*0.475*44/12</f>
        <v>4.847743532999759E-6</v>
      </c>
      <c r="EY76" s="22">
        <f t="shared" si="75"/>
        <v>4.7781233291242327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13.3</v>
      </c>
      <c r="FE76" s="12">
        <f>IF('Données projet'!$A$218&gt;35,FE75+FD76-FM75,IF(A76&lt;'Données projet'!$A$218,$FB$205^A76,IF(A76='Données projet'!$A$218,'Données projet'!$B$218,FE75+FD76-FM75)))</f>
        <v>584.89999999999918</v>
      </c>
      <c r="FF76" s="17">
        <f>FE76*VLOOKUP('Données projet'!$B$16,Paramètres!$A$1:$I$89,3,0)*VLOOKUP('Données projet'!$B$16,Paramètres!$A$1:$I$89,5,0)</f>
        <v>281.33689999999962</v>
      </c>
      <c r="FG76" s="13">
        <f t="shared" si="101"/>
        <v>67.249455912229507</v>
      </c>
      <c r="FH76" s="20">
        <f t="shared" si="76"/>
        <v>607.1212365471323</v>
      </c>
      <c r="FI76" s="59">
        <f t="shared" si="77"/>
        <v>900.45456988046567</v>
      </c>
      <c r="FJ76" s="59">
        <f ca="1">AVERAGE(OFFSET($FI$3,0,0,'Données projet'!$E$16+1,1))-AVERAGE(OFFSET($H$3,0,0,'Données projet'!$E$16+1,1))</f>
        <v>252.30925789500111</v>
      </c>
      <c r="FK76" s="59">
        <f t="shared" si="102"/>
        <v>213.96033794804805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1.9768476542224578</v>
      </c>
      <c r="FR76" s="21">
        <f>EXP(-LN(2)/25)*FR75+(1-EXP(-LN(2)/25))/(LN(2)/25)*Calculateur!FM76*Calculateur!FO76*VLOOKUP('Données projet'!$B$16,Paramètres!$A$1:$I$89,3,0)*0.475*44/12</f>
        <v>2.8012708271582425</v>
      </c>
      <c r="FS76" s="21">
        <f>EXP(-LN(2)/2)*FS75+(1-EXP(-LN(2)/2))/(LN(2)/2)*FM76*FP76*VLOOKUP('Données projet'!$B$16,Paramètres!$A$1:$I$89,3,0)*0.475*44/12</f>
        <v>4.847743532999759E-6</v>
      </c>
      <c r="FT76" s="22">
        <f t="shared" si="78"/>
        <v>4.7781233291242327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117.54638373164624</v>
      </c>
      <c r="GF76" s="59">
        <f t="shared" si="104"/>
        <v>133.0740262536583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0.94407589507137213</v>
      </c>
      <c r="GM76" s="21">
        <f>EXP(-LN(2)/25)*GM75+(1-EXP(-LN(2)/25))/(LN(2)/25)*Calculateur!GH76*Calculateur!GJ76*VLOOKUP('Données projet'!$B$17,Paramètres!$A$1:$I$89,3,0)*0.475*44/12</f>
        <v>2.6273930328918595</v>
      </c>
      <c r="GN76" s="21">
        <f>EXP(-LN(2)/2)*GN75+(1-EXP(-LN(2)/2))/(LN(2)/2)*GH76*GK76*VLOOKUP('Données projet'!$B$17,Paramètres!$A$1:$I$89,3,0)*0.475*44/12</f>
        <v>1.3640482289567803E-6</v>
      </c>
      <c r="GO76" s="21">
        <f t="shared" si="81"/>
        <v>3.5714702920114609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2.8421709430404007E-14</v>
      </c>
      <c r="GV76" s="17">
        <f>GU76*VLOOKUP('Données projet'!$B$18,Paramètres!$A$1:$I$89,3,0)*VLOOKUP('Données projet'!$B$18,Paramètres!$A$1:$I$89,5,0)</f>
        <v>1.3567387213697657E-14</v>
      </c>
      <c r="GW76" s="13">
        <f t="shared" si="105"/>
        <v>2.5717320947985821E-13</v>
      </c>
      <c r="GX76" s="20">
        <f t="shared" si="82"/>
        <v>4.7153987257460977E-13</v>
      </c>
      <c r="GY76" s="59">
        <f t="shared" si="83"/>
        <v>293.33333333333377</v>
      </c>
      <c r="GZ76" s="59">
        <f ca="1">AVERAGE(OFFSET($GY$3,0,0,'Données projet'!$E$18+1,1))-AVERAGE(OFFSET($H$3,0,0,'Données projet'!$E$18+1,1))</f>
        <v>43.147469606759159</v>
      </c>
      <c r="HA76" s="59">
        <f t="shared" si="106"/>
        <v>147.46995307968473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15.389112290648717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1.8584381669160378E-7</v>
      </c>
      <c r="HJ76" s="22">
        <f t="shared" si="84"/>
        <v>15.389112476492533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177.1999999999999</v>
      </c>
      <c r="O77" s="13">
        <f>N77*VLOOKUP('Données projet'!$B$9,Paramètres!$A$1:$I$89,3,0)*VLOOKUP('Données projet'!$B$9,Paramètres!$A$1:$I$89,5,0)</f>
        <v>160.33055999999991</v>
      </c>
      <c r="P77" s="13">
        <f t="shared" si="87"/>
        <v>40.917065179252795</v>
      </c>
      <c r="Q77" s="20">
        <f t="shared" si="54"/>
        <v>350.50628052053179</v>
      </c>
      <c r="R77" s="59">
        <f t="shared" si="55"/>
        <v>643.8396138538651</v>
      </c>
      <c r="S77" s="59">
        <f ca="1">AVERAGE(OFFSET($R$3,0,0,'Données projet'!$E$9+1,1))-AVERAGE(OFFSET($H$3,0,0,'Données projet'!$E$9+1,1))</f>
        <v>138.8931001150624</v>
      </c>
      <c r="T77" s="59">
        <f t="shared" si="88"/>
        <v>48.964659354096625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3.3</v>
      </c>
      <c r="AI77" s="13">
        <f>IF('Données projet'!$A$62&gt;35,AI76+AH77-AQ76,IF(A77&lt;'Données projet'!$A$62,$AF$205^A77,IF(A77='Données projet'!$A$62,'Données projet'!$B$62,AI76+AH77-AQ76)))</f>
        <v>204.19999999999985</v>
      </c>
      <c r="AJ77" s="13">
        <f>AI77*VLOOKUP('Données projet'!$B$10,Paramètres!$A$1:$I$89,3,0)*VLOOKUP('Données projet'!$B$10,Paramètres!$A$1:$I$89,5,0)</f>
        <v>178.38911999999988</v>
      </c>
      <c r="AK77" s="13">
        <f t="shared" si="89"/>
        <v>44.963607752190804</v>
      </c>
      <c r="AL77" s="20">
        <f t="shared" si="58"/>
        <v>389.00600083506538</v>
      </c>
      <c r="AM77" s="59">
        <f t="shared" si="59"/>
        <v>682.33933416839864</v>
      </c>
      <c r="AN77" s="59">
        <f ca="1">AVERAGE(OFFSET($AM$3,0,0,'Données projet'!$E$10+1,1))-AVERAGE(OFFSET($H$3,0,0,'Données projet'!$E$10+1,1))</f>
        <v>191.94797389630673</v>
      </c>
      <c r="AO77" s="59">
        <f t="shared" si="90"/>
        <v>273.52540822767878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4.1476908236953678</v>
      </c>
      <c r="AW77" s="21">
        <f>EXP(-LN(2)/2)*AW76+(1-EXP(-LN(2)/2))/(LN(2)/2)*AQ77*AT77*VLOOKUP('Données projet'!$B$10,Paramètres!$A$1:$I$89,3,0)*0.475*44/12</f>
        <v>5.5320412921117245E-6</v>
      </c>
      <c r="AX77" s="21">
        <f t="shared" si="60"/>
        <v>5.2248612030169364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302.80000000000013</v>
      </c>
      <c r="BE77" s="13">
        <f>BD77*VLOOKUP('Données projet'!$B$11,Paramètres!$A$1:$I$89,3,0)*VLOOKUP('Données projet'!$B$11,Paramètres!$A$1:$I$89,5,0)</f>
        <v>188.94720000000007</v>
      </c>
      <c r="BF77" s="13">
        <f t="shared" si="91"/>
        <v>47.307118501552047</v>
      </c>
      <c r="BG77" s="20">
        <f t="shared" si="61"/>
        <v>411.47627139020324</v>
      </c>
      <c r="BH77" s="59">
        <f t="shared" si="62"/>
        <v>704.80960472353649</v>
      </c>
      <c r="BI77" s="59">
        <f ca="1">AVERAGE(OFFSET($BH$3,0,0,'Données projet'!$E$11+1,1))-AVERAGE(OFFSET($H$3,0,0,'Données projet'!$E$11+1,1))</f>
        <v>162.91481796710048</v>
      </c>
      <c r="BJ77" s="59">
        <f t="shared" si="92"/>
        <v>182.56192390367823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1.1636289422982729</v>
      </c>
      <c r="BQ77" s="21">
        <f>EXP(-LN(2)/25)*BQ76+(1-EXP(-LN(2)/25))/(LN(2)/25)*Calculateur!BL77*Calculateur!BN77*VLOOKUP('Données projet'!$B$11,Paramètres!$A$1:$I$89,3,0)*0.475*44/12</f>
        <v>4.5109779642296646</v>
      </c>
      <c r="BR77" s="21">
        <f>EXP(-LN(2)/2)*BR76+(1-EXP(-LN(2)/2))/(LN(2)/2)*BL77*BO77*VLOOKUP('Données projet'!$B$11,Paramètres!$A$1:$I$89,3,0)*0.475*44/12</f>
        <v>4.2843140138763002E-6</v>
      </c>
      <c r="BS77" s="22">
        <f t="shared" si="63"/>
        <v>5.6746111908419516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7.7</v>
      </c>
      <c r="BY77" s="12">
        <f>IF('Données projet'!$A$114&gt;35,BY76+BX77-CG76,IF(A77&lt;'Données projet'!$A$114,$BV$205^A77,IF(A77='Données projet'!$A$114,'Données projet'!$B$114,BY76+BX77-CG76)))</f>
        <v>288.2999999999999</v>
      </c>
      <c r="BZ77" s="13">
        <f>BY77*VLOOKUP('Données projet'!$B$12,Paramètres!$A$1:$I$89,3,0)*VLOOKUP('Données projet'!$B$12,Paramètres!$A$1:$I$89,5,0)</f>
        <v>134.92439999999993</v>
      </c>
      <c r="CA77" s="13">
        <f t="shared" si="93"/>
        <v>35.131769660365201</v>
      </c>
      <c r="CB77" s="20">
        <f t="shared" si="64"/>
        <v>296.18116215846925</v>
      </c>
      <c r="CC77" s="59">
        <f t="shared" si="65"/>
        <v>589.51449549180256</v>
      </c>
      <c r="CD77" s="59">
        <f ca="1">AVERAGE(OFFSET($CC$3,0,0,'Données projet'!$E$12+1,1))-AVERAGE(OFFSET($H$3,0,0,'Données projet'!$E$12+1,1))</f>
        <v>123.60520571614535</v>
      </c>
      <c r="CE77" s="59">
        <f t="shared" si="94"/>
        <v>119.00926870519527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0.36285482865863589</v>
      </c>
      <c r="CL77" s="21">
        <f>EXP(-LN(2)/25)*CL76+(1-EXP(-LN(2)/25))/(LN(2)/25)*Calculateur!CG77*Calculateur!CI77*VLOOKUP('Données projet'!$B$12,Paramètres!$A$1:$I$89,3,0)*0.475*44/12</f>
        <v>1.4103290958616921</v>
      </c>
      <c r="CM77" s="21">
        <f>EXP(-LN(2)/2)*CM76+(1-EXP(-LN(2)/2))/(LN(2)/2)*CG77*CJ77*VLOOKUP('Données projet'!$B$12,Paramètres!$A$1:$I$89,3,0)*0.475*44/12</f>
        <v>1.4576221683222164E-6</v>
      </c>
      <c r="CN77" s="22">
        <f t="shared" si="66"/>
        <v>1.7731853821424963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177.1999999999999</v>
      </c>
      <c r="CU77" s="17">
        <f>CT77*VLOOKUP('Données projet'!$B$13,Paramètres!$A$1:$I$89,3,0)*VLOOKUP('Données projet'!$B$13,Paramètres!$A$1:$I$89,5,0)</f>
        <v>185.20943999999992</v>
      </c>
      <c r="CV77" s="13">
        <f t="shared" si="95"/>
        <v>46.479259087078354</v>
      </c>
      <c r="CW77" s="20">
        <f t="shared" si="67"/>
        <v>403.524484243328</v>
      </c>
      <c r="CX77" s="59">
        <f t="shared" si="68"/>
        <v>696.85781757666132</v>
      </c>
      <c r="CY77" s="59">
        <f ca="1">AVERAGE(OFFSET($CX$3,0,0,'Données projet'!$E$13+1,1))-AVERAGE(OFFSET($H$3,0,0,'Données projet'!$E$13+1,1))</f>
        <v>177.94336949486529</v>
      </c>
      <c r="CZ77" s="59">
        <f t="shared" si="96"/>
        <v>65.559373432574603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</v>
      </c>
      <c r="DO77" s="12">
        <f>IF('Données projet'!$A$166&gt;35,DO76+DN77-DW76,IF(A77&lt;'Données projet'!$A$166,$DL$205^A77,IF(A77='Données projet'!$A$166,'Données projet'!$B$166,DO76+DN77-DW76)))</f>
        <v>341.00000000000006</v>
      </c>
      <c r="DP77" s="17">
        <f>DO77*VLOOKUP('Données projet'!$B$14,Paramètres!$A$1:$I$89,3,0)*VLOOKUP('Données projet'!$B$14,Paramètres!$A$1:$I$89,5,0)</f>
        <v>203.91800000000006</v>
      </c>
      <c r="DQ77" s="13">
        <f t="shared" si="97"/>
        <v>50.604250898161411</v>
      </c>
      <c r="DR77" s="20">
        <f t="shared" si="70"/>
        <v>443.29292031429787</v>
      </c>
      <c r="DS77" s="59">
        <f t="shared" si="71"/>
        <v>736.62625364763119</v>
      </c>
      <c r="DT77" s="59">
        <f ca="1">AVERAGE(OFFSET($DS$3,0,0,'Données projet'!$E$14+1,1))-AVERAGE(OFFSET($H$3,0,0,'Données projet'!$E$14+1,1))</f>
        <v>165.39579887388538</v>
      </c>
      <c r="DU77" s="59">
        <f t="shared" si="98"/>
        <v>155.89639262545802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2.1521362601516953</v>
      </c>
      <c r="EC77" s="21">
        <f>EXP(-LN(2)/2)*EC76+(1-EXP(-LN(2)/2))/(LN(2)/2)*DW77*DZ77*VLOOKUP('Données projet'!$B$14,Paramètres!$A$1:$I$89,3,0)*0.475*44/12</f>
        <v>3.309258397907484E-6</v>
      </c>
      <c r="ED77" s="22">
        <f t="shared" si="72"/>
        <v>2.1521395694100933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13.3</v>
      </c>
      <c r="EJ77" s="12">
        <f>IF('Données projet'!$A$192&gt;35,EJ76+EI77-ER76,IF(A77&lt;'Données projet'!$A$192,$EG$205^A77,IF(A77='Données projet'!$A$192,'Données projet'!$B$192,EJ76+EI77-ER76)))</f>
        <v>598.19999999999914</v>
      </c>
      <c r="EK77" s="17">
        <f>EJ77*VLOOKUP('Données projet'!$B$15,Paramètres!$A$1:$I$89,3,0)*VLOOKUP('Données projet'!$B$15,Paramètres!$A$1:$I$89,5,0)</f>
        <v>287.73419999999959</v>
      </c>
      <c r="EL77" s="13">
        <f t="shared" si="99"/>
        <v>68.598866723891007</v>
      </c>
      <c r="EM77" s="20">
        <f t="shared" si="73"/>
        <v>620.61342454410953</v>
      </c>
      <c r="EN77" s="59">
        <f t="shared" si="74"/>
        <v>913.94675787744291</v>
      </c>
      <c r="EO77" s="59">
        <f ca="1">AVERAGE(OFFSET($EN$3,0,0,'Données projet'!$E$15+1,1))-AVERAGE(OFFSET($H$3,0,0,'Données projet'!$E$15+1,1))</f>
        <v>252.30925789500111</v>
      </c>
      <c r="EP77" s="59">
        <f t="shared" si="100"/>
        <v>213.96033794804805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1.9380828774811658</v>
      </c>
      <c r="EW77" s="21">
        <f>EXP(-LN(2)/25)*EW76+(1-EXP(-LN(2)/25))/(LN(2)/25)*Calculateur!ER77*Calculateur!ET77*VLOOKUP('Données projet'!$B$15,Paramètres!$A$1:$I$89,3,0)*0.475*44/12</f>
        <v>2.7246699290771699</v>
      </c>
      <c r="EX77" s="21">
        <f>EXP(-LN(2)/2)*EX76+(1-EXP(-LN(2)/2))/(LN(2)/2)*ER77*EU77*VLOOKUP('Données projet'!$B$15,Paramètres!$A$1:$I$89,3,0)*0.475*44/12</f>
        <v>3.4278723256373615E-6</v>
      </c>
      <c r="EY77" s="22">
        <f t="shared" si="75"/>
        <v>4.6627562344306615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13.3</v>
      </c>
      <c r="FE77" s="12">
        <f>IF('Données projet'!$A$218&gt;35,FE76+FD77-FM76,IF(A77&lt;'Données projet'!$A$218,$FB$205^A77,IF(A77='Données projet'!$A$218,'Données projet'!$B$218,FE76+FD77-FM76)))</f>
        <v>598.19999999999914</v>
      </c>
      <c r="FF77" s="17">
        <f>FE77*VLOOKUP('Données projet'!$B$16,Paramètres!$A$1:$I$89,3,0)*VLOOKUP('Données projet'!$B$16,Paramètres!$A$1:$I$89,5,0)</f>
        <v>287.73419999999959</v>
      </c>
      <c r="FG77" s="13">
        <f t="shared" si="101"/>
        <v>68.598866723891007</v>
      </c>
      <c r="FH77" s="20">
        <f t="shared" si="76"/>
        <v>620.61342454410953</v>
      </c>
      <c r="FI77" s="59">
        <f t="shared" si="77"/>
        <v>913.94675787744291</v>
      </c>
      <c r="FJ77" s="59">
        <f ca="1">AVERAGE(OFFSET($FI$3,0,0,'Données projet'!$E$16+1,1))-AVERAGE(OFFSET($H$3,0,0,'Données projet'!$E$16+1,1))</f>
        <v>252.30925789500111</v>
      </c>
      <c r="FK77" s="59">
        <f t="shared" si="102"/>
        <v>213.96033794804805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1.9380828774811658</v>
      </c>
      <c r="FR77" s="21">
        <f>EXP(-LN(2)/25)*FR76+(1-EXP(-LN(2)/25))/(LN(2)/25)*Calculateur!FM77*Calculateur!FO77*VLOOKUP('Données projet'!$B$16,Paramètres!$A$1:$I$89,3,0)*0.475*44/12</f>
        <v>2.7246699290771699</v>
      </c>
      <c r="FS77" s="21">
        <f>EXP(-LN(2)/2)*FS76+(1-EXP(-LN(2)/2))/(LN(2)/2)*FM77*FP77*VLOOKUP('Données projet'!$B$16,Paramètres!$A$1:$I$89,3,0)*0.475*44/12</f>
        <v>3.4278723256373615E-6</v>
      </c>
      <c r="FT77" s="22">
        <f t="shared" si="78"/>
        <v>4.6627562344306615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117.54638373164624</v>
      </c>
      <c r="GF77" s="59">
        <f t="shared" si="104"/>
        <v>133.0740262536583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0.92556314259846006</v>
      </c>
      <c r="GM77" s="21">
        <f>EXP(-LN(2)/25)*GM76+(1-EXP(-LN(2)/25))/(LN(2)/25)*Calculateur!GH77*Calculateur!GJ77*VLOOKUP('Données projet'!$B$17,Paramètres!$A$1:$I$89,3,0)*0.475*44/12</f>
        <v>2.5555468322388371</v>
      </c>
      <c r="GN77" s="21">
        <f>EXP(-LN(2)/2)*GN76+(1-EXP(-LN(2)/2))/(LN(2)/2)*GH77*GK77*VLOOKUP('Données projet'!$B$17,Paramètres!$A$1:$I$89,3,0)*0.475*44/12</f>
        <v>9.645277525608397E-7</v>
      </c>
      <c r="GO77" s="21">
        <f t="shared" si="81"/>
        <v>3.4811109393650499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2.8421709430404007E-14</v>
      </c>
      <c r="GV77" s="17">
        <f>GU77*VLOOKUP('Données projet'!$B$18,Paramètres!$A$1:$I$89,3,0)*VLOOKUP('Données projet'!$B$18,Paramètres!$A$1:$I$89,5,0)</f>
        <v>1.3567387213697657E-14</v>
      </c>
      <c r="GW77" s="13">
        <f t="shared" si="105"/>
        <v>2.5717320947985821E-13</v>
      </c>
      <c r="GX77" s="20">
        <f t="shared" si="82"/>
        <v>4.7153987257460977E-13</v>
      </c>
      <c r="GY77" s="59">
        <f t="shared" si="83"/>
        <v>293.33333333333377</v>
      </c>
      <c r="GZ77" s="59">
        <f ca="1">AVERAGE(OFFSET($GY$3,0,0,'Données projet'!$E$18+1,1))-AVERAGE(OFFSET($H$3,0,0,'Données projet'!$E$18+1,1))</f>
        <v>43.147469606759159</v>
      </c>
      <c r="HA77" s="59">
        <f t="shared" si="106"/>
        <v>147.46995307968473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15.08734118506076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1.3141142302422272E-7</v>
      </c>
      <c r="HJ77" s="22">
        <f t="shared" si="84"/>
        <v>15.087341316472182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181.99999999999991</v>
      </c>
      <c r="O78" s="13">
        <f>N78*VLOOKUP('Données projet'!$B$9,Paramètres!$A$1:$I$89,3,0)*VLOOKUP('Données projet'!$B$9,Paramètres!$A$1:$I$89,5,0)</f>
        <v>164.67359999999991</v>
      </c>
      <c r="P78" s="13">
        <f t="shared" si="87"/>
        <v>41.894886049196984</v>
      </c>
      <c r="Q78" s="20">
        <f t="shared" si="54"/>
        <v>359.77344653568457</v>
      </c>
      <c r="R78" s="59">
        <f t="shared" si="55"/>
        <v>653.10677986901783</v>
      </c>
      <c r="S78" s="59">
        <f ca="1">AVERAGE(OFFSET($R$3,0,0,'Données projet'!$E$9+1,1))-AVERAGE(OFFSET($H$3,0,0,'Données projet'!$E$9+1,1))</f>
        <v>138.8931001150624</v>
      </c>
      <c r="T78" s="59">
        <f t="shared" si="88"/>
        <v>48.964659354096625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3.3</v>
      </c>
      <c r="AI78" s="13">
        <f>IF('Données projet'!$A$62&gt;35,AI77+AH78-AQ77,IF(A78&lt;'Données projet'!$A$62,$AF$205^A78,IF(A78='Données projet'!$A$62,'Données projet'!$B$62,AI77+AH78-AQ77)))</f>
        <v>207.49999999999986</v>
      </c>
      <c r="AJ78" s="13">
        <f>AI78*VLOOKUP('Données projet'!$B$10,Paramètres!$A$1:$I$89,3,0)*VLOOKUP('Données projet'!$B$10,Paramètres!$A$1:$I$89,5,0)</f>
        <v>181.27199999999991</v>
      </c>
      <c r="AK78" s="13">
        <f t="shared" si="89"/>
        <v>45.605066645465826</v>
      </c>
      <c r="AL78" s="20">
        <f t="shared" si="58"/>
        <v>395.14422440751946</v>
      </c>
      <c r="AM78" s="59">
        <f t="shared" si="59"/>
        <v>688.47755774085272</v>
      </c>
      <c r="AN78" s="59">
        <f ca="1">AVERAGE(OFFSET($AM$3,0,0,'Données projet'!$E$10+1,1))-AVERAGE(OFFSET($H$3,0,0,'Données projet'!$E$10+1,1))</f>
        <v>191.94797389630673</v>
      </c>
      <c r="AO78" s="59">
        <f t="shared" si="90"/>
        <v>273.52540822767878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4.0342720000038375</v>
      </c>
      <c r="AW78" s="21">
        <f>EXP(-LN(2)/2)*AW77+(1-EXP(-LN(2)/2))/(LN(2)/2)*AQ78*AT78*VLOOKUP('Données projet'!$B$10,Paramètres!$A$1:$I$89,3,0)*0.475*44/12</f>
        <v>3.9117439114561907E-6</v>
      </c>
      <c r="AX78" s="21">
        <f t="shared" si="60"/>
        <v>5.0903182133785432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307.00000000000011</v>
      </c>
      <c r="BE78" s="13">
        <f>BD78*VLOOKUP('Données projet'!$B$11,Paramètres!$A$1:$I$89,3,0)*VLOOKUP('Données projet'!$B$11,Paramètres!$A$1:$I$89,5,0)</f>
        <v>191.56800000000007</v>
      </c>
      <c r="BF78" s="13">
        <f t="shared" si="91"/>
        <v>47.886449394440099</v>
      </c>
      <c r="BG78" s="20">
        <f t="shared" si="61"/>
        <v>417.04983269531658</v>
      </c>
      <c r="BH78" s="59">
        <f t="shared" si="62"/>
        <v>710.38316602864984</v>
      </c>
      <c r="BI78" s="59">
        <f ca="1">AVERAGE(OFFSET($BH$3,0,0,'Données projet'!$E$11+1,1))-AVERAGE(OFFSET($H$3,0,0,'Données projet'!$E$11+1,1))</f>
        <v>162.91481796710048</v>
      </c>
      <c r="BJ78" s="59">
        <f t="shared" si="92"/>
        <v>182.56192390367823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1.1408108884833772</v>
      </c>
      <c r="BQ78" s="21">
        <f>EXP(-LN(2)/25)*BQ77+(1-EXP(-LN(2)/25))/(LN(2)/25)*Calculateur!BL78*Calculateur!BN78*VLOOKUP('Données projet'!$B$11,Paramètres!$A$1:$I$89,3,0)*0.475*44/12</f>
        <v>4.387625034575783</v>
      </c>
      <c r="BR78" s="21">
        <f>EXP(-LN(2)/2)*BR77+(1-EXP(-LN(2)/2))/(LN(2)/2)*BL78*BO78*VLOOKUP('Données projet'!$B$11,Paramètres!$A$1:$I$89,3,0)*0.475*44/12</f>
        <v>3.0294674919444882E-6</v>
      </c>
      <c r="BS78" s="22">
        <f t="shared" si="63"/>
        <v>5.5284389525266517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7.7</v>
      </c>
      <c r="BY78" s="12">
        <f>IF('Données projet'!$A$114&gt;35,BY77+BX78-CG77,IF(A78&lt;'Données projet'!$A$114,$BV$205^A78,IF(A78='Données projet'!$A$114,'Données projet'!$B$114,BY77+BX78-CG77)))</f>
        <v>295.99999999999989</v>
      </c>
      <c r="BZ78" s="13">
        <f>BY78*VLOOKUP('Données projet'!$B$12,Paramètres!$A$1:$I$89,3,0)*VLOOKUP('Données projet'!$B$12,Paramètres!$A$1:$I$89,5,0)</f>
        <v>138.52799999999996</v>
      </c>
      <c r="CA78" s="13">
        <f t="shared" si="93"/>
        <v>35.959583801423776</v>
      </c>
      <c r="CB78" s="20">
        <f t="shared" si="64"/>
        <v>303.89920845414628</v>
      </c>
      <c r="CC78" s="59">
        <f t="shared" si="65"/>
        <v>597.23254178747959</v>
      </c>
      <c r="CD78" s="59">
        <f ca="1">AVERAGE(OFFSET($CC$3,0,0,'Données projet'!$E$12+1,1))-AVERAGE(OFFSET($H$3,0,0,'Données projet'!$E$12+1,1))</f>
        <v>123.60520571614535</v>
      </c>
      <c r="CE78" s="59">
        <f t="shared" si="94"/>
        <v>119.00926870519527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0.35573946678823204</v>
      </c>
      <c r="CL78" s="21">
        <f>EXP(-LN(2)/25)*CL77+(1-EXP(-LN(2)/25))/(LN(2)/25)*Calculateur!CG78*Calculateur!CI78*VLOOKUP('Données projet'!$B$12,Paramètres!$A$1:$I$89,3,0)*0.475*44/12</f>
        <v>1.3717635725693702</v>
      </c>
      <c r="CM78" s="21">
        <f>EXP(-LN(2)/2)*CM77+(1-EXP(-LN(2)/2))/(LN(2)/2)*CG78*CJ78*VLOOKUP('Données projet'!$B$12,Paramètres!$A$1:$I$89,3,0)*0.475*44/12</f>
        <v>1.0306945196284784E-6</v>
      </c>
      <c r="CN78" s="22">
        <f t="shared" si="66"/>
        <v>1.727504070052122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181.99999999999991</v>
      </c>
      <c r="CU78" s="17">
        <f>CT78*VLOOKUP('Données projet'!$B$13,Paramètres!$A$1:$I$89,3,0)*VLOOKUP('Données projet'!$B$13,Paramètres!$A$1:$I$89,5,0)</f>
        <v>190.22639999999993</v>
      </c>
      <c r="CV78" s="13">
        <f t="shared" si="95"/>
        <v>47.59000320706312</v>
      </c>
      <c r="CW78" s="20">
        <f t="shared" si="67"/>
        <v>414.19690225230147</v>
      </c>
      <c r="CX78" s="59">
        <f t="shared" si="68"/>
        <v>707.53023558563473</v>
      </c>
      <c r="CY78" s="59">
        <f ca="1">AVERAGE(OFFSET($CX$3,0,0,'Données projet'!$E$13+1,1))-AVERAGE(OFFSET($H$3,0,0,'Données projet'!$E$13+1,1))</f>
        <v>177.94336949486529</v>
      </c>
      <c r="CZ78" s="59">
        <f t="shared" si="96"/>
        <v>65.559373432574603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</v>
      </c>
      <c r="DO78" s="12">
        <f>IF('Données projet'!$A$166&gt;35,DO77+DN78-DW77,IF(A78&lt;'Données projet'!$A$166,$DL$205^A78,IF(A78='Données projet'!$A$166,'Données projet'!$B$166,DO77+DN78-DW77)))</f>
        <v>347.00000000000006</v>
      </c>
      <c r="DP78" s="17">
        <f>DO78*VLOOKUP('Données projet'!$B$14,Paramètres!$A$1:$I$89,3,0)*VLOOKUP('Données projet'!$B$14,Paramètres!$A$1:$I$89,5,0)</f>
        <v>207.50600000000006</v>
      </c>
      <c r="DQ78" s="13">
        <f t="shared" si="97"/>
        <v>51.3902055726969</v>
      </c>
      <c r="DR78" s="20">
        <f t="shared" si="70"/>
        <v>450.91089137244717</v>
      </c>
      <c r="DS78" s="59">
        <f t="shared" si="71"/>
        <v>744.24422470578043</v>
      </c>
      <c r="DT78" s="59">
        <f ca="1">AVERAGE(OFFSET($DS$3,0,0,'Données projet'!$E$14+1,1))-AVERAGE(OFFSET($H$3,0,0,'Données projet'!$E$14+1,1))</f>
        <v>165.39579887388538</v>
      </c>
      <c r="DU78" s="59">
        <f t="shared" si="98"/>
        <v>155.89639262545802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2.09328598094192</v>
      </c>
      <c r="EC78" s="21">
        <f>EXP(-LN(2)/2)*EC77+(1-EXP(-LN(2)/2))/(LN(2)/2)*DW78*DZ78*VLOOKUP('Données projet'!$B$14,Paramètres!$A$1:$I$89,3,0)*0.475*44/12</f>
        <v>2.3399990538589121E-6</v>
      </c>
      <c r="ED78" s="22">
        <f t="shared" si="72"/>
        <v>2.0932883209409741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13.3</v>
      </c>
      <c r="EJ78" s="12">
        <f>IF('Données projet'!$A$192&gt;35,EJ77+EI78-ER77,IF(A78&lt;'Données projet'!$A$192,$EG$205^A78,IF(A78='Données projet'!$A$192,'Données projet'!$B$192,EJ77+EI78-ER77)))</f>
        <v>611.49999999999909</v>
      </c>
      <c r="EK78" s="17">
        <f>EJ78*VLOOKUP('Données projet'!$B$15,Paramètres!$A$1:$I$89,3,0)*VLOOKUP('Données projet'!$B$15,Paramètres!$A$1:$I$89,5,0)</f>
        <v>294.13149999999956</v>
      </c>
      <c r="EL78" s="13">
        <f t="shared" si="99"/>
        <v>69.944789520343832</v>
      </c>
      <c r="EM78" s="20">
        <f t="shared" si="73"/>
        <v>634.09953758126471</v>
      </c>
      <c r="EN78" s="59">
        <f t="shared" si="74"/>
        <v>927.43287091459797</v>
      </c>
      <c r="EO78" s="59">
        <f ca="1">AVERAGE(OFFSET($EN$3,0,0,'Données projet'!$E$15+1,1))-AVERAGE(OFFSET($H$3,0,0,'Données projet'!$E$15+1,1))</f>
        <v>252.30925789500111</v>
      </c>
      <c r="EP78" s="59">
        <f t="shared" si="100"/>
        <v>213.96033794804805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1.9000782543675914</v>
      </c>
      <c r="EW78" s="21">
        <f>EXP(-LN(2)/25)*EW77+(1-EXP(-LN(2)/25))/(LN(2)/25)*Calculateur!ER78*Calculateur!ET78*VLOOKUP('Données projet'!$B$15,Paramètres!$A$1:$I$89,3,0)*0.475*44/12</f>
        <v>2.6501636865823905</v>
      </c>
      <c r="EX78" s="21">
        <f>EXP(-LN(2)/2)*EX77+(1-EXP(-LN(2)/2))/(LN(2)/2)*ER78*EU78*VLOOKUP('Données projet'!$B$15,Paramètres!$A$1:$I$89,3,0)*0.475*44/12</f>
        <v>2.4238717664998795E-6</v>
      </c>
      <c r="EY78" s="22">
        <f t="shared" si="75"/>
        <v>4.5502443648217481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13.3</v>
      </c>
      <c r="FE78" s="12">
        <f>IF('Données projet'!$A$218&gt;35,FE77+FD78-FM77,IF(A78&lt;'Données projet'!$A$218,$FB$205^A78,IF(A78='Données projet'!$A$218,'Données projet'!$B$218,FE77+FD78-FM77)))</f>
        <v>611.49999999999909</v>
      </c>
      <c r="FF78" s="17">
        <f>FE78*VLOOKUP('Données projet'!$B$16,Paramètres!$A$1:$I$89,3,0)*VLOOKUP('Données projet'!$B$16,Paramètres!$A$1:$I$89,5,0)</f>
        <v>294.13149999999956</v>
      </c>
      <c r="FG78" s="13">
        <f t="shared" si="101"/>
        <v>69.944789520343832</v>
      </c>
      <c r="FH78" s="20">
        <f t="shared" si="76"/>
        <v>634.09953758126471</v>
      </c>
      <c r="FI78" s="59">
        <f t="shared" si="77"/>
        <v>927.43287091459797</v>
      </c>
      <c r="FJ78" s="59">
        <f ca="1">AVERAGE(OFFSET($FI$3,0,0,'Données projet'!$E$16+1,1))-AVERAGE(OFFSET($H$3,0,0,'Données projet'!$E$16+1,1))</f>
        <v>252.30925789500111</v>
      </c>
      <c r="FK78" s="59">
        <f t="shared" si="102"/>
        <v>213.96033794804805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1.9000782543675914</v>
      </c>
      <c r="FR78" s="21">
        <f>EXP(-LN(2)/25)*FR77+(1-EXP(-LN(2)/25))/(LN(2)/25)*Calculateur!FM78*Calculateur!FO78*VLOOKUP('Données projet'!$B$16,Paramètres!$A$1:$I$89,3,0)*0.475*44/12</f>
        <v>2.6501636865823905</v>
      </c>
      <c r="FS78" s="21">
        <f>EXP(-LN(2)/2)*FS77+(1-EXP(-LN(2)/2))/(LN(2)/2)*FM78*FP78*VLOOKUP('Données projet'!$B$16,Paramètres!$A$1:$I$89,3,0)*0.475*44/12</f>
        <v>2.4238717664998795E-6</v>
      </c>
      <c r="FT78" s="22">
        <f t="shared" si="78"/>
        <v>4.5502443648217481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117.54638373164624</v>
      </c>
      <c r="GF78" s="59">
        <f t="shared" si="104"/>
        <v>133.0740262536583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0.90741341390987773</v>
      </c>
      <c r="GM78" s="21">
        <f>EXP(-LN(2)/25)*GM77+(1-EXP(-LN(2)/25))/(LN(2)/25)*Calculateur!GH78*Calculateur!GJ78*VLOOKUP('Données projet'!$B$17,Paramètres!$A$1:$I$89,3,0)*0.475*44/12</f>
        <v>2.485665269720899</v>
      </c>
      <c r="GN78" s="21">
        <f>EXP(-LN(2)/2)*GN77+(1-EXP(-LN(2)/2))/(LN(2)/2)*GH78*GK78*VLOOKUP('Données projet'!$B$17,Paramètres!$A$1:$I$89,3,0)*0.475*44/12</f>
        <v>6.8202411447839014E-7</v>
      </c>
      <c r="GO78" s="21">
        <f t="shared" si="81"/>
        <v>3.3930793656548914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2.8421709430404007E-14</v>
      </c>
      <c r="GV78" s="17">
        <f>GU78*VLOOKUP('Données projet'!$B$18,Paramètres!$A$1:$I$89,3,0)*VLOOKUP('Données projet'!$B$18,Paramètres!$A$1:$I$89,5,0)</f>
        <v>1.3567387213697657E-14</v>
      </c>
      <c r="GW78" s="13">
        <f t="shared" si="105"/>
        <v>2.5717320947985821E-13</v>
      </c>
      <c r="GX78" s="20">
        <f t="shared" si="82"/>
        <v>4.7153987257460977E-13</v>
      </c>
      <c r="GY78" s="59">
        <f t="shared" si="83"/>
        <v>293.33333333333377</v>
      </c>
      <c r="GZ78" s="59">
        <f ca="1">AVERAGE(OFFSET($GY$3,0,0,'Données projet'!$E$18+1,1))-AVERAGE(OFFSET($H$3,0,0,'Données projet'!$E$18+1,1))</f>
        <v>43.147469606759159</v>
      </c>
      <c r="HA78" s="59">
        <f t="shared" si="106"/>
        <v>147.46995307968473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14.791487626791183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9.2921908345801889E-8</v>
      </c>
      <c r="HJ78" s="22">
        <f t="shared" si="84"/>
        <v>14.791487719713091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4.8</v>
      </c>
      <c r="N79" s="13">
        <f>IF('Données projet'!$A$36&gt;35,N78+M79-V78,IF(A79&lt;'Données projet'!$A$36,$K$205^A79,IF(A79='Données projet'!$A$36,'Données projet'!$B$36,N78+M79-V78)))</f>
        <v>186.79999999999993</v>
      </c>
      <c r="O79" s="13">
        <f>N79*VLOOKUP('Données projet'!$B$9,Paramètres!$A$1:$I$89,3,0)*VLOOKUP('Données projet'!$B$9,Paramètres!$A$1:$I$89,5,0)</f>
        <v>169.01663999999994</v>
      </c>
      <c r="P79" s="13">
        <f t="shared" si="87"/>
        <v>42.869709352189666</v>
      </c>
      <c r="Q79" s="20">
        <f t="shared" si="54"/>
        <v>369.03539178839679</v>
      </c>
      <c r="R79" s="59">
        <f t="shared" si="55"/>
        <v>662.36872512173011</v>
      </c>
      <c r="S79" s="59">
        <f ca="1">AVERAGE(OFFSET($R$3,0,0,'Données projet'!$E$9+1,1))-AVERAGE(OFFSET($H$3,0,0,'Données projet'!$E$9+1,1))</f>
        <v>138.8931001150624</v>
      </c>
      <c r="T79" s="59">
        <f t="shared" si="88"/>
        <v>48.964659354096625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3.3</v>
      </c>
      <c r="AI79" s="13">
        <f>IF('Données projet'!$A$62&gt;35,AI78+AH79-AQ78,IF(A79&lt;'Données projet'!$A$62,$AF$205^A79,IF(A79='Données projet'!$A$62,'Données projet'!$B$62,AI78+AH79-AQ78)))</f>
        <v>210.79999999999987</v>
      </c>
      <c r="AJ79" s="13">
        <f>AI79*VLOOKUP('Données projet'!$B$10,Paramètres!$A$1:$I$89,3,0)*VLOOKUP('Données projet'!$B$10,Paramètres!$A$1:$I$89,5,0)</f>
        <v>184.15487999999993</v>
      </c>
      <c r="AK79" s="13">
        <f t="shared" si="89"/>
        <v>46.245339127946259</v>
      </c>
      <c r="AL79" s="20">
        <f t="shared" si="58"/>
        <v>401.28038164783965</v>
      </c>
      <c r="AM79" s="59">
        <f t="shared" si="59"/>
        <v>694.61371498117296</v>
      </c>
      <c r="AN79" s="59">
        <f ca="1">AVERAGE(OFFSET($AM$3,0,0,'Données projet'!$E$10+1,1))-AVERAGE(OFFSET($H$3,0,0,'Données projet'!$E$10+1,1))</f>
        <v>191.94797389630673</v>
      </c>
      <c r="AO79" s="59">
        <f t="shared" si="90"/>
        <v>273.52540822767878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3.9239546200105884</v>
      </c>
      <c r="AW79" s="21">
        <f>EXP(-LN(2)/2)*AW78+(1-EXP(-LN(2)/2))/(LN(2)/2)*AQ79*AT79*VLOOKUP('Données projet'!$B$10,Paramètres!$A$1:$I$89,3,0)*0.475*44/12</f>
        <v>2.7660206460558622E-6</v>
      </c>
      <c r="AX79" s="21">
        <f t="shared" si="60"/>
        <v>4.9592913422492506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4.2</v>
      </c>
      <c r="BD79" s="12">
        <f>IF('Données projet'!$A$88&gt;35,BD78+BC79-BL78,IF(A79&lt;'Données projet'!$A$88,$BA$205^A79,IF(A79='Données projet'!$A$88,'Données projet'!$B$88,BD78+BC79-BL78)))</f>
        <v>311.2000000000001</v>
      </c>
      <c r="BE79" s="13">
        <f>BD79*VLOOKUP('Données projet'!$B$11,Paramètres!$A$1:$I$89,3,0)*VLOOKUP('Données projet'!$B$11,Paramètres!$A$1:$I$89,5,0)</f>
        <v>194.18880000000004</v>
      </c>
      <c r="BF79" s="13">
        <f t="shared" si="91"/>
        <v>48.464858439663615</v>
      </c>
      <c r="BG79" s="20">
        <f t="shared" si="61"/>
        <v>422.6217884490809</v>
      </c>
      <c r="BH79" s="59">
        <f t="shared" si="62"/>
        <v>715.95512178241415</v>
      </c>
      <c r="BI79" s="59">
        <f ca="1">AVERAGE(OFFSET($BH$3,0,0,'Données projet'!$E$11+1,1))-AVERAGE(OFFSET($H$3,0,0,'Données projet'!$E$11+1,1))</f>
        <v>162.91481796710048</v>
      </c>
      <c r="BJ79" s="59">
        <f t="shared" si="92"/>
        <v>182.56192390367823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1.118440282786153</v>
      </c>
      <c r="BQ79" s="21">
        <f>EXP(-LN(2)/25)*BQ78+(1-EXP(-LN(2)/25))/(LN(2)/25)*Calculateur!BL79*Calculateur!BN79*VLOOKUP('Données projet'!$B$11,Paramètres!$A$1:$I$89,3,0)*0.475*44/12</f>
        <v>4.2676451972701361</v>
      </c>
      <c r="BR79" s="21">
        <f>EXP(-LN(2)/2)*BR78+(1-EXP(-LN(2)/2))/(LN(2)/2)*BL79*BO79*VLOOKUP('Données projet'!$B$11,Paramètres!$A$1:$I$89,3,0)*0.475*44/12</f>
        <v>2.1421570069381501E-6</v>
      </c>
      <c r="BS79" s="22">
        <f t="shared" si="63"/>
        <v>5.3860876222132967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7.7</v>
      </c>
      <c r="BY79" s="12">
        <f>IF('Données projet'!$A$114&gt;35,BY78+BX79-CG78,IF(A79&lt;'Données projet'!$A$114,$BV$205^A79,IF(A79='Données projet'!$A$114,'Données projet'!$B$114,BY78+BX79-CG78)))</f>
        <v>303.69999999999987</v>
      </c>
      <c r="BZ79" s="13">
        <f>BY79*VLOOKUP('Données projet'!$B$12,Paramètres!$A$1:$I$89,3,0)*VLOOKUP('Données projet'!$B$12,Paramètres!$A$1:$I$89,5,0)</f>
        <v>142.13159999999993</v>
      </c>
      <c r="CA79" s="13">
        <f t="shared" si="93"/>
        <v>36.784894836428784</v>
      </c>
      <c r="CB79" s="20">
        <f t="shared" si="64"/>
        <v>311.6128951734467</v>
      </c>
      <c r="CC79" s="59">
        <f t="shared" si="65"/>
        <v>604.94622850678002</v>
      </c>
      <c r="CD79" s="59">
        <f ca="1">AVERAGE(OFFSET($CC$3,0,0,'Données projet'!$E$12+1,1))-AVERAGE(OFFSET($H$3,0,0,'Données projet'!$E$12+1,1))</f>
        <v>123.60520571614535</v>
      </c>
      <c r="CE79" s="59">
        <f t="shared" si="94"/>
        <v>119.00926870519527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0.34876363282416462</v>
      </c>
      <c r="CL79" s="21">
        <f>EXP(-LN(2)/25)*CL78+(1-EXP(-LN(2)/25))/(LN(2)/25)*Calculateur!CG79*Calculateur!CI79*VLOOKUP('Données projet'!$B$12,Paramètres!$A$1:$I$89,3,0)*0.475*44/12</f>
        <v>1.3342526255395497</v>
      </c>
      <c r="CM79" s="21">
        <f>EXP(-LN(2)/2)*CM78+(1-EXP(-LN(2)/2))/(LN(2)/2)*CG79*CJ79*VLOOKUP('Données projet'!$B$12,Paramètres!$A$1:$I$89,3,0)*0.475*44/12</f>
        <v>7.288110841611082E-7</v>
      </c>
      <c r="CN79" s="22">
        <f t="shared" si="66"/>
        <v>1.6830169871747984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</v>
      </c>
      <c r="CT79" s="12">
        <f>IF('Données projet'!$A$140&gt;35,CT78+CS79-DB78,IF(A79&lt;'Données projet'!$A$140,$CQ$205^A79,IF(A79='Données projet'!$A$140,'Données projet'!$B$140,CT78+CS79-DB78)))</f>
        <v>186.79999999999993</v>
      </c>
      <c r="CU79" s="17">
        <f>CT79*VLOOKUP('Données projet'!$B$13,Paramètres!$A$1:$I$89,3,0)*VLOOKUP('Données projet'!$B$13,Paramètres!$A$1:$I$89,5,0)</f>
        <v>195.24335999999994</v>
      </c>
      <c r="CV79" s="13">
        <f t="shared" si="95"/>
        <v>48.697342276114703</v>
      </c>
      <c r="CW79" s="20">
        <f t="shared" si="67"/>
        <v>424.8633897975663</v>
      </c>
      <c r="CX79" s="59">
        <f t="shared" si="68"/>
        <v>718.19672313089961</v>
      </c>
      <c r="CY79" s="59">
        <f ca="1">AVERAGE(OFFSET($CX$3,0,0,'Données projet'!$E$13+1,1))-AVERAGE(OFFSET($H$3,0,0,'Données projet'!$E$13+1,1))</f>
        <v>177.94336949486529</v>
      </c>
      <c r="CZ79" s="59">
        <f t="shared" si="96"/>
        <v>65.559373432574603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353.00000000000006</v>
      </c>
      <c r="DP79" s="17">
        <f>DO79*VLOOKUP('Données projet'!$B$14,Paramètres!$A$1:$I$89,3,0)*VLOOKUP('Données projet'!$B$14,Paramètres!$A$1:$I$89,5,0)</f>
        <v>211.09400000000005</v>
      </c>
      <c r="DQ79" s="13">
        <f t="shared" si="97"/>
        <v>52.1745798794691</v>
      </c>
      <c r="DR79" s="20">
        <f t="shared" si="70"/>
        <v>458.52610995674212</v>
      </c>
      <c r="DS79" s="59">
        <f t="shared" si="71"/>
        <v>751.85944329007543</v>
      </c>
      <c r="DT79" s="59">
        <f ca="1">AVERAGE(OFFSET($DS$3,0,0,'Données projet'!$E$14+1,1))-AVERAGE(OFFSET($H$3,0,0,'Données projet'!$E$14+1,1))</f>
        <v>165.39579887388538</v>
      </c>
      <c r="DU79" s="59">
        <f t="shared" si="98"/>
        <v>155.89639262545802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2.0360449657119375</v>
      </c>
      <c r="EC79" s="21">
        <f>EXP(-LN(2)/2)*EC78+(1-EXP(-LN(2)/2))/(LN(2)/2)*DW79*DZ79*VLOOKUP('Données projet'!$B$14,Paramètres!$A$1:$I$89,3,0)*0.475*44/12</f>
        <v>1.654629198953742E-6</v>
      </c>
      <c r="ED79" s="22">
        <f t="shared" si="72"/>
        <v>2.0360466203411365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13.3</v>
      </c>
      <c r="EJ79" s="12">
        <f>IF('Données projet'!$A$192&gt;35,EJ78+EI79-ER78,IF(A79&lt;'Données projet'!$A$192,$EG$205^A79,IF(A79='Données projet'!$A$192,'Données projet'!$B$192,EJ78+EI79-ER78)))</f>
        <v>624.79999999999905</v>
      </c>
      <c r="EK79" s="17">
        <f>EJ79*VLOOKUP('Données projet'!$B$15,Paramètres!$A$1:$I$89,3,0)*VLOOKUP('Données projet'!$B$15,Paramètres!$A$1:$I$89,5,0)</f>
        <v>300.52879999999953</v>
      </c>
      <c r="EL79" s="13">
        <f t="shared" si="99"/>
        <v>71.287308902085229</v>
      </c>
      <c r="EM79" s="20">
        <f t="shared" si="73"/>
        <v>647.5797230044642</v>
      </c>
      <c r="EN79" s="59">
        <f t="shared" si="74"/>
        <v>940.91305633779757</v>
      </c>
      <c r="EO79" s="59">
        <f ca="1">AVERAGE(OFFSET($EN$3,0,0,'Données projet'!$E$15+1,1))-AVERAGE(OFFSET($H$3,0,0,'Données projet'!$E$15+1,1))</f>
        <v>252.30925789500111</v>
      </c>
      <c r="EP79" s="59">
        <f t="shared" si="100"/>
        <v>213.96033794804805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1.8628188787327429</v>
      </c>
      <c r="EW79" s="21">
        <f>EXP(-LN(2)/25)*EW78+(1-EXP(-LN(2)/25))/(LN(2)/25)*Calculateur!ER79*Calculateur!ET79*VLOOKUP('Données projet'!$B$15,Paramètres!$A$1:$I$89,3,0)*0.475*44/12</f>
        <v>2.5776948212067436</v>
      </c>
      <c r="EX79" s="21">
        <f>EXP(-LN(2)/2)*EX78+(1-EXP(-LN(2)/2))/(LN(2)/2)*ER79*EU79*VLOOKUP('Données projet'!$B$15,Paramètres!$A$1:$I$89,3,0)*0.475*44/12</f>
        <v>1.7139361628186808E-6</v>
      </c>
      <c r="EY79" s="22">
        <f t="shared" si="75"/>
        <v>4.4405154138756497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13.3</v>
      </c>
      <c r="FE79" s="12">
        <f>IF('Données projet'!$A$218&gt;35,FE78+FD79-FM78,IF(A79&lt;'Données projet'!$A$218,$FB$205^A79,IF(A79='Données projet'!$A$218,'Données projet'!$B$218,FE78+FD79-FM78)))</f>
        <v>624.79999999999905</v>
      </c>
      <c r="FF79" s="17">
        <f>FE79*VLOOKUP('Données projet'!$B$16,Paramètres!$A$1:$I$89,3,0)*VLOOKUP('Données projet'!$B$16,Paramètres!$A$1:$I$89,5,0)</f>
        <v>300.52879999999953</v>
      </c>
      <c r="FG79" s="13">
        <f t="shared" si="101"/>
        <v>71.287308902085229</v>
      </c>
      <c r="FH79" s="20">
        <f t="shared" si="76"/>
        <v>647.5797230044642</v>
      </c>
      <c r="FI79" s="59">
        <f t="shared" si="77"/>
        <v>940.91305633779757</v>
      </c>
      <c r="FJ79" s="59">
        <f ca="1">AVERAGE(OFFSET($FI$3,0,0,'Données projet'!$E$16+1,1))-AVERAGE(OFFSET($H$3,0,0,'Données projet'!$E$16+1,1))</f>
        <v>252.30925789500111</v>
      </c>
      <c r="FK79" s="59">
        <f t="shared" si="102"/>
        <v>213.96033794804805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1.8628188787327429</v>
      </c>
      <c r="FR79" s="21">
        <f>EXP(-LN(2)/25)*FR78+(1-EXP(-LN(2)/25))/(LN(2)/25)*Calculateur!FM79*Calculateur!FO79*VLOOKUP('Données projet'!$B$16,Paramètres!$A$1:$I$89,3,0)*0.475*44/12</f>
        <v>2.5776948212067436</v>
      </c>
      <c r="FS79" s="21">
        <f>EXP(-LN(2)/2)*FS78+(1-EXP(-LN(2)/2))/(LN(2)/2)*FM79*FP79*VLOOKUP('Données projet'!$B$16,Paramètres!$A$1:$I$89,3,0)*0.475*44/12</f>
        <v>1.7139361628186808E-6</v>
      </c>
      <c r="FT79" s="22">
        <f t="shared" si="78"/>
        <v>4.4405154138756497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117.54638373164624</v>
      </c>
      <c r="GF79" s="59">
        <f t="shared" si="104"/>
        <v>133.0740262536583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0.88961959033063709</v>
      </c>
      <c r="GM79" s="21">
        <f>EXP(-LN(2)/25)*GM78+(1-EXP(-LN(2)/25))/(LN(2)/25)*Calculateur!GH79*Calculateur!GJ79*VLOOKUP('Données projet'!$B$17,Paramètres!$A$1:$I$89,3,0)*0.475*44/12</f>
        <v>2.4176946222049254</v>
      </c>
      <c r="GN79" s="21">
        <f>EXP(-LN(2)/2)*GN78+(1-EXP(-LN(2)/2))/(LN(2)/2)*GH79*GK79*VLOOKUP('Données projet'!$B$17,Paramètres!$A$1:$I$89,3,0)*0.475*44/12</f>
        <v>4.8226387628041985E-7</v>
      </c>
      <c r="GO79" s="21">
        <f t="shared" si="81"/>
        <v>3.3073146947994387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2.8421709430404007E-14</v>
      </c>
      <c r="GV79" s="17">
        <f>GU79*VLOOKUP('Données projet'!$B$18,Paramètres!$A$1:$I$89,3,0)*VLOOKUP('Données projet'!$B$18,Paramètres!$A$1:$I$89,5,0)</f>
        <v>1.3567387213697657E-14</v>
      </c>
      <c r="GW79" s="13">
        <f t="shared" si="105"/>
        <v>2.5717320947985821E-13</v>
      </c>
      <c r="GX79" s="20">
        <f t="shared" si="82"/>
        <v>4.7153987257460977E-13</v>
      </c>
      <c r="GY79" s="59">
        <f t="shared" si="83"/>
        <v>293.33333333333377</v>
      </c>
      <c r="GZ79" s="59">
        <f ca="1">AVERAGE(OFFSET($GY$3,0,0,'Données projet'!$E$18+1,1))-AVERAGE(OFFSET($H$3,0,0,'Données projet'!$E$18+1,1))</f>
        <v>43.147469606759159</v>
      </c>
      <c r="HA79" s="59">
        <f t="shared" si="106"/>
        <v>147.46995307968473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14.50143557634642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6.5705711512111359E-8</v>
      </c>
      <c r="HJ79" s="22">
        <f t="shared" si="84"/>
        <v>14.501435642052131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4.8</v>
      </c>
      <c r="N80" s="13">
        <f>IF('Données projet'!$A$36&gt;35,N79+M80-V79,IF(A80&lt;'Données projet'!$A$36,$K$205^A80,IF(A80='Données projet'!$A$36,'Données projet'!$B$36,N79+M80-V79)))</f>
        <v>191.59999999999994</v>
      </c>
      <c r="O80" s="13">
        <f>N80*VLOOKUP('Données projet'!$B$9,Paramètres!$A$1:$I$89,3,0)*VLOOKUP('Données projet'!$B$9,Paramètres!$A$1:$I$89,5,0)</f>
        <v>173.35967999999994</v>
      </c>
      <c r="P80" s="13">
        <f t="shared" si="87"/>
        <v>43.841620969901918</v>
      </c>
      <c r="Q80" s="20">
        <f t="shared" si="54"/>
        <v>378.29226585591238</v>
      </c>
      <c r="R80" s="59">
        <f t="shared" si="55"/>
        <v>671.62559918924569</v>
      </c>
      <c r="S80" s="59">
        <f ca="1">AVERAGE(OFFSET($R$3,0,0,'Données projet'!$E$9+1,1))-AVERAGE(OFFSET($H$3,0,0,'Données projet'!$E$9+1,1))</f>
        <v>138.8931001150624</v>
      </c>
      <c r="T80" s="59">
        <f t="shared" si="88"/>
        <v>48.964659354096625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3.3</v>
      </c>
      <c r="AI80" s="13">
        <f>IF('Données projet'!$A$62&gt;35,AI79+AH80-AQ79,IF(A80&lt;'Données projet'!$A$62,$AF$205^A80,IF(A80='Données projet'!$A$62,'Données projet'!$B$62,AI79+AH80-AQ79)))</f>
        <v>214.09999999999988</v>
      </c>
      <c r="AJ80" s="13">
        <f>AI80*VLOOKUP('Données projet'!$B$10,Paramètres!$A$1:$I$89,3,0)*VLOOKUP('Données projet'!$B$10,Paramètres!$A$1:$I$89,5,0)</f>
        <v>187.03775999999991</v>
      </c>
      <c r="AK80" s="13">
        <f t="shared" si="89"/>
        <v>46.884445917180038</v>
      </c>
      <c r="AL80" s="20">
        <f t="shared" si="58"/>
        <v>407.41450863908841</v>
      </c>
      <c r="AM80" s="59">
        <f t="shared" si="59"/>
        <v>700.74784197242172</v>
      </c>
      <c r="AN80" s="59">
        <f ca="1">AVERAGE(OFFSET($AM$3,0,0,'Données projet'!$E$10+1,1))-AVERAGE(OFFSET($H$3,0,0,'Données projet'!$E$10+1,1))</f>
        <v>191.94797389630673</v>
      </c>
      <c r="AO80" s="59">
        <f t="shared" si="90"/>
        <v>273.52540822767878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3.8166538745745937</v>
      </c>
      <c r="AW80" s="21">
        <f>EXP(-LN(2)/2)*AW79+(1-EXP(-LN(2)/2))/(LN(2)/2)*AQ80*AT80*VLOOKUP('Données projet'!$B$10,Paramètres!$A$1:$I$89,3,0)*0.475*44/12</f>
        <v>1.9558719557280953E-6</v>
      </c>
      <c r="AX80" s="21">
        <f t="shared" si="60"/>
        <v>4.8316875192744897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4.2</v>
      </c>
      <c r="BD80" s="12">
        <f>IF('Données projet'!$A$88&gt;35,BD79+BC80-BL79,IF(A80&lt;'Données projet'!$A$88,$BA$205^A80,IF(A80='Données projet'!$A$88,'Données projet'!$B$88,BD79+BC80-BL79)))</f>
        <v>315.40000000000009</v>
      </c>
      <c r="BE80" s="13">
        <f>BD80*VLOOKUP('Données projet'!$B$11,Paramètres!$A$1:$I$89,3,0)*VLOOKUP('Données projet'!$B$11,Paramètres!$A$1:$I$89,5,0)</f>
        <v>196.80960000000005</v>
      </c>
      <c r="BF80" s="13">
        <f t="shared" si="91"/>
        <v>49.042359516732759</v>
      </c>
      <c r="BG80" s="20">
        <f t="shared" si="61"/>
        <v>428.19216282497626</v>
      </c>
      <c r="BH80" s="59">
        <f t="shared" si="62"/>
        <v>721.52549615830958</v>
      </c>
      <c r="BI80" s="59">
        <f ca="1">AVERAGE(OFFSET($BH$3,0,0,'Données projet'!$E$11+1,1))-AVERAGE(OFFSET($H$3,0,0,'Données projet'!$E$11+1,1))</f>
        <v>162.91481796710048</v>
      </c>
      <c r="BJ80" s="59">
        <f t="shared" si="92"/>
        <v>182.56192390367823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1.0965083510219293</v>
      </c>
      <c r="BQ80" s="21">
        <f>EXP(-LN(2)/25)*BQ79+(1-EXP(-LN(2)/25))/(LN(2)/25)*Calculateur!BL80*Calculateur!BN80*VLOOKUP('Données projet'!$B$11,Paramètres!$A$1:$I$89,3,0)*0.475*44/12</f>
        <v>4.1509462149250771</v>
      </c>
      <c r="BR80" s="21">
        <f>EXP(-LN(2)/2)*BR79+(1-EXP(-LN(2)/2))/(LN(2)/2)*BL80*BO80*VLOOKUP('Données projet'!$B$11,Paramètres!$A$1:$I$89,3,0)*0.475*44/12</f>
        <v>1.5147337459722441E-6</v>
      </c>
      <c r="BS80" s="22">
        <f t="shared" si="63"/>
        <v>5.2474560806807515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7.7</v>
      </c>
      <c r="BY80" s="12">
        <f>IF('Données projet'!$A$114&gt;35,BY79+BX80-CG79,IF(A80&lt;'Données projet'!$A$114,$BV$205^A80,IF(A80='Données projet'!$A$114,'Données projet'!$B$114,BY79+BX80-CG79)))</f>
        <v>311.39999999999986</v>
      </c>
      <c r="BZ80" s="13">
        <f>BY80*VLOOKUP('Données projet'!$B$12,Paramètres!$A$1:$I$89,3,0)*VLOOKUP('Données projet'!$B$12,Paramètres!$A$1:$I$89,5,0)</f>
        <v>145.73519999999994</v>
      </c>
      <c r="CA80" s="13">
        <f t="shared" si="93"/>
        <v>37.607773527116223</v>
      </c>
      <c r="CB80" s="20">
        <f t="shared" si="64"/>
        <v>319.3223455597273</v>
      </c>
      <c r="CC80" s="59">
        <f t="shared" si="65"/>
        <v>612.65567889306067</v>
      </c>
      <c r="CD80" s="59">
        <f ca="1">AVERAGE(OFFSET($CC$3,0,0,'Données projet'!$E$12+1,1))-AVERAGE(OFFSET($H$3,0,0,'Données projet'!$E$12+1,1))</f>
        <v>123.60520571614535</v>
      </c>
      <c r="CE80" s="59">
        <f t="shared" si="94"/>
        <v>119.00926870519527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0.34192459070929393</v>
      </c>
      <c r="CL80" s="21">
        <f>EXP(-LN(2)/25)*CL79+(1-EXP(-LN(2)/25))/(LN(2)/25)*Calculateur!CG80*Calculateur!CI80*VLOOKUP('Données projet'!$B$12,Paramètres!$A$1:$I$89,3,0)*0.475*44/12</f>
        <v>1.2977674173288747</v>
      </c>
      <c r="CM80" s="21">
        <f>EXP(-LN(2)/2)*CM79+(1-EXP(-LN(2)/2))/(LN(2)/2)*CG80*CJ80*VLOOKUP('Données projet'!$B$12,Paramètres!$A$1:$I$89,3,0)*0.475*44/12</f>
        <v>5.153472598142392E-7</v>
      </c>
      <c r="CN80" s="22">
        <f t="shared" si="66"/>
        <v>1.6396925233854283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</v>
      </c>
      <c r="CT80" s="12">
        <f>IF('Données projet'!$A$140&gt;35,CT79+CS80-DB79,IF(A80&lt;'Données projet'!$A$140,$CQ$205^A80,IF(A80='Données projet'!$A$140,'Données projet'!$B$140,CT79+CS80-DB79)))</f>
        <v>191.59999999999994</v>
      </c>
      <c r="CU80" s="17">
        <f>CT80*VLOOKUP('Données projet'!$B$13,Paramètres!$A$1:$I$89,3,0)*VLOOKUP('Données projet'!$B$13,Paramètres!$A$1:$I$89,5,0)</f>
        <v>200.26031999999995</v>
      </c>
      <c r="CV80" s="13">
        <f t="shared" si="95"/>
        <v>49.801373850507645</v>
      </c>
      <c r="CW80" s="20">
        <f t="shared" si="67"/>
        <v>435.52411678963404</v>
      </c>
      <c r="CX80" s="59">
        <f t="shared" si="68"/>
        <v>728.85745012296729</v>
      </c>
      <c r="CY80" s="59">
        <f ca="1">AVERAGE(OFFSET($CX$3,0,0,'Données projet'!$E$13+1,1))-AVERAGE(OFFSET($H$3,0,0,'Données projet'!$E$13+1,1))</f>
        <v>177.94336949486529</v>
      </c>
      <c r="CZ80" s="59">
        <f t="shared" si="96"/>
        <v>65.559373432574603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359.00000000000006</v>
      </c>
      <c r="DP80" s="17">
        <f>DO80*VLOOKUP('Données projet'!$B$14,Paramètres!$A$1:$I$89,3,0)*VLOOKUP('Données projet'!$B$14,Paramètres!$A$1:$I$89,5,0)</f>
        <v>214.68200000000007</v>
      </c>
      <c r="DQ80" s="13">
        <f t="shared" si="97"/>
        <v>52.957403780225121</v>
      </c>
      <c r="DR80" s="20">
        <f t="shared" si="70"/>
        <v>466.13862825055884</v>
      </c>
      <c r="DS80" s="59">
        <f t="shared" si="71"/>
        <v>759.47196158389215</v>
      </c>
      <c r="DT80" s="59">
        <f ca="1">AVERAGE(OFFSET($DS$3,0,0,'Données projet'!$E$14+1,1))-AVERAGE(OFFSET($H$3,0,0,'Données projet'!$E$14+1,1))</f>
        <v>165.39579887388538</v>
      </c>
      <c r="DU80" s="59">
        <f t="shared" si="98"/>
        <v>155.89639262545802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1.9803692090535931</v>
      </c>
      <c r="EC80" s="21">
        <f>EXP(-LN(2)/2)*EC79+(1-EXP(-LN(2)/2))/(LN(2)/2)*DW80*DZ80*VLOOKUP('Données projet'!$B$14,Paramètres!$A$1:$I$89,3,0)*0.475*44/12</f>
        <v>1.169999526929456E-6</v>
      </c>
      <c r="ED80" s="22">
        <f t="shared" si="72"/>
        <v>1.9803703790531202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13.3</v>
      </c>
      <c r="EJ80" s="12">
        <f>IF('Données projet'!$A$192&gt;35,EJ79+EI80-ER79,IF(A80&lt;'Données projet'!$A$192,$EG$205^A80,IF(A80='Données projet'!$A$192,'Données projet'!$B$192,EJ79+EI80-ER79)))</f>
        <v>638.099999999999</v>
      </c>
      <c r="EK80" s="17">
        <f>EJ80*VLOOKUP('Données projet'!$B$15,Paramètres!$A$1:$I$89,3,0)*VLOOKUP('Données projet'!$B$15,Paramètres!$A$1:$I$89,5,0)</f>
        <v>306.92609999999956</v>
      </c>
      <c r="EL80" s="13">
        <f t="shared" si="99"/>
        <v>72.626505662095198</v>
      </c>
      <c r="EM80" s="20">
        <f t="shared" si="73"/>
        <v>661.05412152814836</v>
      </c>
      <c r="EN80" s="59">
        <f t="shared" si="74"/>
        <v>954.38745486148173</v>
      </c>
      <c r="EO80" s="59">
        <f ca="1">AVERAGE(OFFSET($EN$3,0,0,'Données projet'!$E$15+1,1))-AVERAGE(OFFSET($H$3,0,0,'Données projet'!$E$15+1,1))</f>
        <v>252.30925789500111</v>
      </c>
      <c r="EP80" s="59">
        <f t="shared" si="100"/>
        <v>213.96033794804805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1.8262901367281186</v>
      </c>
      <c r="EW80" s="21">
        <f>EXP(-LN(2)/25)*EW79+(1-EXP(-LN(2)/25))/(LN(2)/25)*Calculateur!ER80*Calculateur!ET80*VLOOKUP('Données projet'!$B$15,Paramètres!$A$1:$I$89,3,0)*0.475*44/12</f>
        <v>2.5072076207657661</v>
      </c>
      <c r="EX80" s="21">
        <f>EXP(-LN(2)/2)*EX79+(1-EXP(-LN(2)/2))/(LN(2)/2)*ER80*EU80*VLOOKUP('Données projet'!$B$15,Paramètres!$A$1:$I$89,3,0)*0.475*44/12</f>
        <v>1.2119358832499398E-6</v>
      </c>
      <c r="EY80" s="22">
        <f t="shared" si="75"/>
        <v>4.3334989694297681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13.3</v>
      </c>
      <c r="FE80" s="12">
        <f>IF('Données projet'!$A$218&gt;35,FE79+FD80-FM79,IF(A80&lt;'Données projet'!$A$218,$FB$205^A80,IF(A80='Données projet'!$A$218,'Données projet'!$B$218,FE79+FD80-FM79)))</f>
        <v>638.099999999999</v>
      </c>
      <c r="FF80" s="17">
        <f>FE80*VLOOKUP('Données projet'!$B$16,Paramètres!$A$1:$I$89,3,0)*VLOOKUP('Données projet'!$B$16,Paramètres!$A$1:$I$89,5,0)</f>
        <v>306.92609999999956</v>
      </c>
      <c r="FG80" s="13">
        <f t="shared" si="101"/>
        <v>72.626505662095198</v>
      </c>
      <c r="FH80" s="20">
        <f t="shared" si="76"/>
        <v>661.05412152814836</v>
      </c>
      <c r="FI80" s="59">
        <f t="shared" si="77"/>
        <v>954.38745486148173</v>
      </c>
      <c r="FJ80" s="59">
        <f ca="1">AVERAGE(OFFSET($FI$3,0,0,'Données projet'!$E$16+1,1))-AVERAGE(OFFSET($H$3,0,0,'Données projet'!$E$16+1,1))</f>
        <v>252.30925789500111</v>
      </c>
      <c r="FK80" s="59">
        <f t="shared" si="102"/>
        <v>213.96033794804805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1.8262901367281186</v>
      </c>
      <c r="FR80" s="21">
        <f>EXP(-LN(2)/25)*FR79+(1-EXP(-LN(2)/25))/(LN(2)/25)*Calculateur!FM80*Calculateur!FO80*VLOOKUP('Données projet'!$B$16,Paramètres!$A$1:$I$89,3,0)*0.475*44/12</f>
        <v>2.5072076207657661</v>
      </c>
      <c r="FS80" s="21">
        <f>EXP(-LN(2)/2)*FS79+(1-EXP(-LN(2)/2))/(LN(2)/2)*FM80*FP80*VLOOKUP('Données projet'!$B$16,Paramètres!$A$1:$I$89,3,0)*0.475*44/12</f>
        <v>1.2119358832499398E-6</v>
      </c>
      <c r="FT80" s="22">
        <f t="shared" si="78"/>
        <v>4.3334989694297681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117.54638373164624</v>
      </c>
      <c r="GF80" s="59">
        <f t="shared" si="104"/>
        <v>133.0740262536583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0.87217469277862469</v>
      </c>
      <c r="GM80" s="21">
        <f>EXP(-LN(2)/25)*GM79+(1-EXP(-LN(2)/25))/(LN(2)/25)*Calculateur!GH80*Calculateur!GJ80*VLOOKUP('Données projet'!$B$17,Paramètres!$A$1:$I$89,3,0)*0.475*44/12</f>
        <v>2.3515826356196974</v>
      </c>
      <c r="GN80" s="21">
        <f>EXP(-LN(2)/2)*GN79+(1-EXP(-LN(2)/2))/(LN(2)/2)*GH80*GK80*VLOOKUP('Données projet'!$B$17,Paramètres!$A$1:$I$89,3,0)*0.475*44/12</f>
        <v>3.4101205723919507E-7</v>
      </c>
      <c r="GO80" s="21">
        <f t="shared" si="81"/>
        <v>3.2237576694103791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2.8421709430404007E-14</v>
      </c>
      <c r="GV80" s="17">
        <f>GU80*VLOOKUP('Données projet'!$B$18,Paramètres!$A$1:$I$89,3,0)*VLOOKUP('Données projet'!$B$18,Paramètres!$A$1:$I$89,5,0)</f>
        <v>1.3567387213697657E-14</v>
      </c>
      <c r="GW80" s="13">
        <f t="shared" si="105"/>
        <v>2.5717320947985821E-13</v>
      </c>
      <c r="GX80" s="20">
        <f t="shared" si="82"/>
        <v>4.7153987257460977E-13</v>
      </c>
      <c r="GY80" s="59">
        <f t="shared" si="83"/>
        <v>293.33333333333377</v>
      </c>
      <c r="GZ80" s="59">
        <f ca="1">AVERAGE(OFFSET($GY$3,0,0,'Données projet'!$E$18+1,1))-AVERAGE(OFFSET($H$3,0,0,'Données projet'!$E$18+1,1))</f>
        <v>43.147469606759159</v>
      </c>
      <c r="HA80" s="59">
        <f t="shared" si="106"/>
        <v>147.46995307968473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14.217071269696596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4.6460954172900945E-8</v>
      </c>
      <c r="HJ80" s="22">
        <f t="shared" si="84"/>
        <v>14.217071316157551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4.8</v>
      </c>
      <c r="N81" s="13">
        <f>IF('Données projet'!$A$36&gt;35,N80+M81-V80,IF(A81&lt;'Données projet'!$A$36,$K$205^A81,IF(A81='Données projet'!$A$36,'Données projet'!$B$36,N80+M81-V80)))</f>
        <v>196.39999999999995</v>
      </c>
      <c r="O81" s="13">
        <f>N81*VLOOKUP('Données projet'!$B$9,Paramètres!$A$1:$I$89,3,0)*VLOOKUP('Données projet'!$B$9,Paramètres!$A$1:$I$89,5,0)</f>
        <v>177.70271999999994</v>
      </c>
      <c r="P81" s="13">
        <f t="shared" si="87"/>
        <v>44.810702235717677</v>
      </c>
      <c r="Q81" s="20">
        <f t="shared" si="54"/>
        <v>387.54421039387483</v>
      </c>
      <c r="R81" s="59">
        <f t="shared" si="55"/>
        <v>680.87754372720815</v>
      </c>
      <c r="S81" s="59">
        <f ca="1">AVERAGE(OFFSET($R$3,0,0,'Données projet'!$E$9+1,1))-AVERAGE(OFFSET($H$3,0,0,'Données projet'!$E$9+1,1))</f>
        <v>138.8931001150624</v>
      </c>
      <c r="T81" s="59">
        <f t="shared" si="88"/>
        <v>48.964659354096625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3.3</v>
      </c>
      <c r="AI81" s="13">
        <f>IF('Données projet'!$A$62&gt;35,AI80+AH81-AQ80,IF(A81&lt;'Données projet'!$A$62,$AF$205^A81,IF(A81='Données projet'!$A$62,'Données projet'!$B$62,AI80+AH81-AQ80)))</f>
        <v>217.39999999999989</v>
      </c>
      <c r="AJ81" s="13">
        <f>AI81*VLOOKUP('Données projet'!$B$10,Paramètres!$A$1:$I$89,3,0)*VLOOKUP('Données projet'!$B$10,Paramètres!$A$1:$I$89,5,0)</f>
        <v>189.92063999999993</v>
      </c>
      <c r="AK81" s="13">
        <f t="shared" si="89"/>
        <v>47.522407055417723</v>
      </c>
      <c r="AL81" s="20">
        <f t="shared" si="58"/>
        <v>413.54664028818576</v>
      </c>
      <c r="AM81" s="59">
        <f t="shared" si="59"/>
        <v>706.87997362151907</v>
      </c>
      <c r="AN81" s="59">
        <f ca="1">AVERAGE(OFFSET($AM$3,0,0,'Données projet'!$E$10+1,1))-AVERAGE(OFFSET($H$3,0,0,'Données projet'!$E$10+1,1))</f>
        <v>191.94797389630673</v>
      </c>
      <c r="AO81" s="59">
        <f t="shared" si="90"/>
        <v>273.52540822767878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3.7122872736652472</v>
      </c>
      <c r="AW81" s="21">
        <f>EXP(-LN(2)/2)*AW80+(1-EXP(-LN(2)/2))/(LN(2)/2)*AQ81*AT81*VLOOKUP('Données projet'!$B$10,Paramètres!$A$1:$I$89,3,0)*0.475*44/12</f>
        <v>1.3830103230279311E-6</v>
      </c>
      <c r="AX81" s="21">
        <f t="shared" si="60"/>
        <v>4.7074161931937928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4.2</v>
      </c>
      <c r="BD81" s="12">
        <f>IF('Données projet'!$A$88&gt;35,BD80+BC81-BL80,IF(A81&lt;'Données projet'!$A$88,$BA$205^A81,IF(A81='Données projet'!$A$88,'Données projet'!$B$88,BD80+BC81-BL80)))</f>
        <v>319.60000000000008</v>
      </c>
      <c r="BE81" s="13">
        <f>BD81*VLOOKUP('Données projet'!$B$11,Paramètres!$A$1:$I$89,3,0)*VLOOKUP('Données projet'!$B$11,Paramètres!$A$1:$I$89,5,0)</f>
        <v>199.43040000000008</v>
      </c>
      <c r="BF81" s="13">
        <f t="shared" si="91"/>
        <v>49.618966114261482</v>
      </c>
      <c r="BG81" s="20">
        <f t="shared" si="61"/>
        <v>433.76097931567216</v>
      </c>
      <c r="BH81" s="59">
        <f t="shared" si="62"/>
        <v>727.09431264900547</v>
      </c>
      <c r="BI81" s="59">
        <f ca="1">AVERAGE(OFFSET($BH$3,0,0,'Données projet'!$E$11+1,1))-AVERAGE(OFFSET($H$3,0,0,'Données projet'!$E$11+1,1))</f>
        <v>162.91481796710048</v>
      </c>
      <c r="BJ81" s="59">
        <f t="shared" si="92"/>
        <v>182.56192390367823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1.0750064910624446</v>
      </c>
      <c r="BQ81" s="21">
        <f>EXP(-LN(2)/25)*BQ80+(1-EXP(-LN(2)/25))/(LN(2)/25)*Calculateur!BL81*Calculateur!BN81*VLOOKUP('Données projet'!$B$11,Paramètres!$A$1:$I$89,3,0)*0.475*44/12</f>
        <v>4.0374383723891762</v>
      </c>
      <c r="BR81" s="21">
        <f>EXP(-LN(2)/2)*BR80+(1-EXP(-LN(2)/2))/(LN(2)/2)*BL81*BO81*VLOOKUP('Données projet'!$B$11,Paramètres!$A$1:$I$89,3,0)*0.475*44/12</f>
        <v>1.071078503469075E-6</v>
      </c>
      <c r="BS81" s="22">
        <f t="shared" si="63"/>
        <v>5.1124459345301245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7.7</v>
      </c>
      <c r="BY81" s="12">
        <f>IF('Données projet'!$A$114&gt;35,BY80+BX81-CG80,IF(A81&lt;'Données projet'!$A$114,$BV$205^A81,IF(A81='Données projet'!$A$114,'Données projet'!$B$114,BY80+BX81-CG80)))</f>
        <v>319.09999999999985</v>
      </c>
      <c r="BZ81" s="13">
        <f>BY81*VLOOKUP('Données projet'!$B$12,Paramètres!$A$1:$I$89,3,0)*VLOOKUP('Données projet'!$B$12,Paramètres!$A$1:$I$89,5,0)</f>
        <v>149.33879999999994</v>
      </c>
      <c r="CA81" s="13">
        <f t="shared" si="93"/>
        <v>38.428286936285446</v>
      </c>
      <c r="CB81" s="20">
        <f t="shared" si="64"/>
        <v>327.02767641403034</v>
      </c>
      <c r="CC81" s="59">
        <f t="shared" si="65"/>
        <v>620.3610097473636</v>
      </c>
      <c r="CD81" s="59">
        <f ca="1">AVERAGE(OFFSET($CC$3,0,0,'Données projet'!$E$12+1,1))-AVERAGE(OFFSET($H$3,0,0,'Données projet'!$E$12+1,1))</f>
        <v>123.60520571614535</v>
      </c>
      <c r="CE81" s="59">
        <f t="shared" si="94"/>
        <v>119.00926870519527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0.33521965803889209</v>
      </c>
      <c r="CL81" s="21">
        <f>EXP(-LN(2)/25)*CL80+(1-EXP(-LN(2)/25))/(LN(2)/25)*Calculateur!CG81*Calculateur!CI81*VLOOKUP('Données projet'!$B$12,Paramètres!$A$1:$I$89,3,0)*0.475*44/12</f>
        <v>1.2622798990553943</v>
      </c>
      <c r="CM81" s="21">
        <f>EXP(-LN(2)/2)*CM80+(1-EXP(-LN(2)/2))/(LN(2)/2)*CG81*CJ81*VLOOKUP('Données projet'!$B$12,Paramètres!$A$1:$I$89,3,0)*0.475*44/12</f>
        <v>3.644055420805541E-7</v>
      </c>
      <c r="CN81" s="22">
        <f t="shared" si="66"/>
        <v>1.5974999214998284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</v>
      </c>
      <c r="CT81" s="12">
        <f>IF('Données projet'!$A$140&gt;35,CT80+CS81-DB80,IF(A81&lt;'Données projet'!$A$140,$CQ$205^A81,IF(A81='Données projet'!$A$140,'Données projet'!$B$140,CT80+CS81-DB80)))</f>
        <v>196.39999999999995</v>
      </c>
      <c r="CU81" s="17">
        <f>CT81*VLOOKUP('Données projet'!$B$13,Paramètres!$A$1:$I$89,3,0)*VLOOKUP('Données projet'!$B$13,Paramètres!$A$1:$I$89,5,0)</f>
        <v>205.27727999999996</v>
      </c>
      <c r="CV81" s="13">
        <f t="shared" si="95"/>
        <v>50.902190319943074</v>
      </c>
      <c r="CW81" s="20">
        <f t="shared" si="67"/>
        <v>446.1792441405675</v>
      </c>
      <c r="CX81" s="59">
        <f t="shared" si="68"/>
        <v>739.51257747390082</v>
      </c>
      <c r="CY81" s="59">
        <f ca="1">AVERAGE(OFFSET($CX$3,0,0,'Données projet'!$E$13+1,1))-AVERAGE(OFFSET($H$3,0,0,'Données projet'!$E$13+1,1))</f>
        <v>177.94336949486529</v>
      </c>
      <c r="CZ81" s="59">
        <f t="shared" si="96"/>
        <v>65.559373432574603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365.00000000000006</v>
      </c>
      <c r="DP81" s="17">
        <f>DO81*VLOOKUP('Données projet'!$B$14,Paramètres!$A$1:$I$89,3,0)*VLOOKUP('Données projet'!$B$14,Paramètres!$A$1:$I$89,5,0)</f>
        <v>218.27000000000004</v>
      </c>
      <c r="DQ81" s="13">
        <f t="shared" si="97"/>
        <v>53.738706177800289</v>
      </c>
      <c r="DR81" s="20">
        <f t="shared" si="70"/>
        <v>473.74849659300213</v>
      </c>
      <c r="DS81" s="59">
        <f t="shared" si="71"/>
        <v>767.08182992633544</v>
      </c>
      <c r="DT81" s="59">
        <f ca="1">AVERAGE(OFFSET($DS$3,0,0,'Données projet'!$E$14+1,1))-AVERAGE(OFFSET($H$3,0,0,'Données projet'!$E$14+1,1))</f>
        <v>165.39579887388538</v>
      </c>
      <c r="DU81" s="59">
        <f t="shared" si="98"/>
        <v>155.89639262545802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1.9262159088889321</v>
      </c>
      <c r="EC81" s="21">
        <f>EXP(-LN(2)/2)*EC80+(1-EXP(-LN(2)/2))/(LN(2)/2)*DW81*DZ81*VLOOKUP('Données projet'!$B$14,Paramètres!$A$1:$I$89,3,0)*0.475*44/12</f>
        <v>8.2731459947687099E-7</v>
      </c>
      <c r="ED81" s="22">
        <f t="shared" si="72"/>
        <v>1.9262167362035316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13.3</v>
      </c>
      <c r="EJ81" s="12">
        <f>IF('Données projet'!$A$192&gt;35,EJ80+EI81-ER80,IF(A81&lt;'Données projet'!$A$192,$EG$205^A81,IF(A81='Données projet'!$A$192,'Données projet'!$B$192,EJ80+EI81-ER80)))</f>
        <v>651.39999999999895</v>
      </c>
      <c r="EK81" s="17">
        <f>EJ81*VLOOKUP('Données projet'!$B$15,Paramètres!$A$1:$I$89,3,0)*VLOOKUP('Données projet'!$B$15,Paramètres!$A$1:$I$89,5,0)</f>
        <v>313.32339999999948</v>
      </c>
      <c r="EL81" s="13">
        <f t="shared" si="99"/>
        <v>73.962457032927716</v>
      </c>
      <c r="EM81" s="20">
        <f t="shared" si="73"/>
        <v>674.52286766568147</v>
      </c>
      <c r="EN81" s="59">
        <f t="shared" si="74"/>
        <v>967.85620099901485</v>
      </c>
      <c r="EO81" s="59">
        <f ca="1">AVERAGE(OFFSET($EN$3,0,0,'Données projet'!$E$15+1,1))-AVERAGE(OFFSET($H$3,0,0,'Données projet'!$E$15+1,1))</f>
        <v>252.30925789500111</v>
      </c>
      <c r="EP81" s="59">
        <f t="shared" si="100"/>
        <v>213.96033794804805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1.7904777010738724</v>
      </c>
      <c r="EW81" s="21">
        <f>EXP(-LN(2)/25)*EW80+(1-EXP(-LN(2)/25))/(LN(2)/25)*Calculateur!ER81*Calculateur!ET81*VLOOKUP('Données projet'!$B$15,Paramètres!$A$1:$I$89,3,0)*0.475*44/12</f>
        <v>2.4386478965276077</v>
      </c>
      <c r="EX81" s="21">
        <f>EXP(-LN(2)/2)*EX80+(1-EXP(-LN(2)/2))/(LN(2)/2)*ER81*EU81*VLOOKUP('Données projet'!$B$15,Paramètres!$A$1:$I$89,3,0)*0.475*44/12</f>
        <v>8.5696808140934038E-7</v>
      </c>
      <c r="EY81" s="22">
        <f t="shared" si="75"/>
        <v>4.2291264545695615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13.3</v>
      </c>
      <c r="FE81" s="12">
        <f>IF('Données projet'!$A$218&gt;35,FE80+FD81-FM80,IF(A81&lt;'Données projet'!$A$218,$FB$205^A81,IF(A81='Données projet'!$A$218,'Données projet'!$B$218,FE80+FD81-FM80)))</f>
        <v>651.39999999999895</v>
      </c>
      <c r="FF81" s="17">
        <f>FE81*VLOOKUP('Données projet'!$B$16,Paramètres!$A$1:$I$89,3,0)*VLOOKUP('Données projet'!$B$16,Paramètres!$A$1:$I$89,5,0)</f>
        <v>313.32339999999948</v>
      </c>
      <c r="FG81" s="13">
        <f t="shared" si="101"/>
        <v>73.962457032927716</v>
      </c>
      <c r="FH81" s="20">
        <f t="shared" si="76"/>
        <v>674.52286766568147</v>
      </c>
      <c r="FI81" s="59">
        <f t="shared" si="77"/>
        <v>967.85620099901485</v>
      </c>
      <c r="FJ81" s="59">
        <f ca="1">AVERAGE(OFFSET($FI$3,0,0,'Données projet'!$E$16+1,1))-AVERAGE(OFFSET($H$3,0,0,'Données projet'!$E$16+1,1))</f>
        <v>252.30925789500111</v>
      </c>
      <c r="FK81" s="59">
        <f t="shared" si="102"/>
        <v>213.96033794804805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1.7904777010738724</v>
      </c>
      <c r="FR81" s="21">
        <f>EXP(-LN(2)/25)*FR80+(1-EXP(-LN(2)/25))/(LN(2)/25)*Calculateur!FM81*Calculateur!FO81*VLOOKUP('Données projet'!$B$16,Paramètres!$A$1:$I$89,3,0)*0.475*44/12</f>
        <v>2.4386478965276077</v>
      </c>
      <c r="FS81" s="21">
        <f>EXP(-LN(2)/2)*FS80+(1-EXP(-LN(2)/2))/(LN(2)/2)*FM81*FP81*VLOOKUP('Données projet'!$B$16,Paramètres!$A$1:$I$89,3,0)*0.475*44/12</f>
        <v>8.5696808140934038E-7</v>
      </c>
      <c r="FT81" s="22">
        <f t="shared" si="78"/>
        <v>4.2291264545695615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117.54638373164624</v>
      </c>
      <c r="GF81" s="59">
        <f t="shared" si="104"/>
        <v>133.0740262536583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0.85507187902727033</v>
      </c>
      <c r="GM81" s="21">
        <f>EXP(-LN(2)/25)*GM80+(1-EXP(-LN(2)/25))/(LN(2)/25)*Calculateur!GH81*Calculateur!GJ81*VLOOKUP('Données projet'!$B$17,Paramètres!$A$1:$I$89,3,0)*0.475*44/12</f>
        <v>2.2872784847843204</v>
      </c>
      <c r="GN81" s="21">
        <f>EXP(-LN(2)/2)*GN80+(1-EXP(-LN(2)/2))/(LN(2)/2)*GH81*GK81*VLOOKUP('Données projet'!$B$17,Paramètres!$A$1:$I$89,3,0)*0.475*44/12</f>
        <v>2.4113193814020992E-7</v>
      </c>
      <c r="GO81" s="21">
        <f t="shared" si="81"/>
        <v>3.1423506049435286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2.8421709430404007E-14</v>
      </c>
      <c r="GV81" s="17">
        <f>GU81*VLOOKUP('Données projet'!$B$18,Paramètres!$A$1:$I$89,3,0)*VLOOKUP('Données projet'!$B$18,Paramètres!$A$1:$I$89,5,0)</f>
        <v>1.3567387213697657E-14</v>
      </c>
      <c r="GW81" s="13">
        <f t="shared" si="105"/>
        <v>2.5717320947985821E-13</v>
      </c>
      <c r="GX81" s="20">
        <f t="shared" si="82"/>
        <v>4.7153987257460977E-13</v>
      </c>
      <c r="GY81" s="59">
        <f t="shared" si="83"/>
        <v>293.33333333333377</v>
      </c>
      <c r="GZ81" s="59">
        <f ca="1">AVERAGE(OFFSET($GY$3,0,0,'Données projet'!$E$18+1,1))-AVERAGE(OFFSET($H$3,0,0,'Données projet'!$E$18+1,1))</f>
        <v>43.147469606759159</v>
      </c>
      <c r="HA81" s="59">
        <f t="shared" si="106"/>
        <v>147.46995307968473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13.938283173655076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3.2852855756055679E-8</v>
      </c>
      <c r="HJ81" s="22">
        <f t="shared" si="84"/>
        <v>13.938283206507933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4.8</v>
      </c>
      <c r="N82" s="13">
        <f>IF('Données projet'!$A$36&gt;35,N81+M82-V81,IF(A82&lt;'Données projet'!$A$36,$K$205^A82,IF(A82='Données projet'!$A$36,'Données projet'!$B$36,N81+M82-V81)))</f>
        <v>201.19999999999996</v>
      </c>
      <c r="O82" s="13">
        <f>N82*VLOOKUP('Données projet'!$B$9,Paramètres!$A$1:$I$89,3,0)*VLOOKUP('Données projet'!$B$9,Paramètres!$A$1:$I$89,5,0)</f>
        <v>182.04575999999994</v>
      </c>
      <c r="P82" s="13">
        <f t="shared" si="87"/>
        <v>45.777030280798314</v>
      </c>
      <c r="Q82" s="20">
        <f t="shared" si="54"/>
        <v>396.79135973905687</v>
      </c>
      <c r="R82" s="59">
        <f t="shared" si="55"/>
        <v>690.12469307239019</v>
      </c>
      <c r="S82" s="59">
        <f ca="1">AVERAGE(OFFSET($R$3,0,0,'Données projet'!$E$9+1,1))-AVERAGE(OFFSET($H$3,0,0,'Données projet'!$E$9+1,1))</f>
        <v>138.8931001150624</v>
      </c>
      <c r="T82" s="59">
        <f t="shared" si="88"/>
        <v>48.964659354096625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3.3</v>
      </c>
      <c r="AI82" s="13">
        <f>IF('Données projet'!$A$62&gt;35,AI81+AH82-AQ81,IF(A82&lt;'Données projet'!$A$62,$AF$205^A82,IF(A82='Données projet'!$A$62,'Données projet'!$B$62,AI81+AH82-AQ81)))</f>
        <v>220.6999999999999</v>
      </c>
      <c r="AJ82" s="13">
        <f>AI82*VLOOKUP('Données projet'!$B$10,Paramètres!$A$1:$I$89,3,0)*VLOOKUP('Données projet'!$B$10,Paramètres!$A$1:$I$89,5,0)</f>
        <v>192.80351999999993</v>
      </c>
      <c r="AK82" s="13">
        <f t="shared" si="89"/>
        <v>48.159241941533828</v>
      </c>
      <c r="AL82" s="20">
        <f t="shared" si="58"/>
        <v>419.67681038150459</v>
      </c>
      <c r="AM82" s="59">
        <f t="shared" si="59"/>
        <v>713.01014371483791</v>
      </c>
      <c r="AN82" s="59">
        <f ca="1">AVERAGE(OFFSET($AM$3,0,0,'Données projet'!$E$10+1,1))-AVERAGE(OFFSET($H$3,0,0,'Données projet'!$E$10+1,1))</f>
        <v>191.94797389630673</v>
      </c>
      <c r="AO82" s="59">
        <f t="shared" si="90"/>
        <v>273.52540822767878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3.6107745829461679</v>
      </c>
      <c r="AW82" s="21">
        <f>EXP(-LN(2)/2)*AW81+(1-EXP(-LN(2)/2))/(LN(2)/2)*AQ82*AT82*VLOOKUP('Données projet'!$B$10,Paramètres!$A$1:$I$89,3,0)*0.475*44/12</f>
        <v>9.7793597786404767E-7</v>
      </c>
      <c r="AX82" s="21">
        <f t="shared" si="60"/>
        <v>4.5863892533771091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4.2</v>
      </c>
      <c r="BD82" s="12">
        <f>IF('Données projet'!$A$88&gt;35,BD81+BC82-BL81,IF(A82&lt;'Données projet'!$A$88,$BA$205^A82,IF(A82='Données projet'!$A$88,'Données projet'!$B$88,BD81+BC82-BL81)))</f>
        <v>323.80000000000007</v>
      </c>
      <c r="BE82" s="13">
        <f>BD82*VLOOKUP('Données projet'!$B$11,Paramètres!$A$1:$I$89,3,0)*VLOOKUP('Données projet'!$B$11,Paramètres!$A$1:$I$89,5,0)</f>
        <v>202.05120000000005</v>
      </c>
      <c r="BF82" s="13">
        <f t="shared" si="91"/>
        <v>50.194691345966341</v>
      </c>
      <c r="BG82" s="20">
        <f t="shared" si="61"/>
        <v>439.32826076089145</v>
      </c>
      <c r="BH82" s="59">
        <f t="shared" si="62"/>
        <v>732.66159409422471</v>
      </c>
      <c r="BI82" s="59">
        <f ca="1">AVERAGE(OFFSET($BH$3,0,0,'Données projet'!$E$11+1,1))-AVERAGE(OFFSET($H$3,0,0,'Données projet'!$E$11+1,1))</f>
        <v>162.91481796710048</v>
      </c>
      <c r="BJ82" s="59">
        <f t="shared" si="92"/>
        <v>182.56192390367823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1.0539262694619256</v>
      </c>
      <c r="BQ82" s="21">
        <f>EXP(-LN(2)/25)*BQ81+(1-EXP(-LN(2)/25))/(LN(2)/25)*Calculateur!BL82*Calculateur!BN82*VLOOKUP('Données projet'!$B$11,Paramètres!$A$1:$I$89,3,0)*0.475*44/12</f>
        <v>3.9270344077765378</v>
      </c>
      <c r="BR82" s="21">
        <f>EXP(-LN(2)/2)*BR81+(1-EXP(-LN(2)/2))/(LN(2)/2)*BL82*BO82*VLOOKUP('Données projet'!$B$11,Paramètres!$A$1:$I$89,3,0)*0.475*44/12</f>
        <v>7.5736687298612205E-7</v>
      </c>
      <c r="BS82" s="22">
        <f t="shared" si="63"/>
        <v>4.9809614346053364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7.7</v>
      </c>
      <c r="BY82" s="12">
        <f>IF('Données projet'!$A$114&gt;35,BY81+BX82-CG81,IF(A82&lt;'Données projet'!$A$114,$BV$205^A82,IF(A82='Données projet'!$A$114,'Données projet'!$B$114,BY81+BX82-CG81)))</f>
        <v>326.79999999999984</v>
      </c>
      <c r="BZ82" s="13">
        <f>BY82*VLOOKUP('Données projet'!$B$12,Paramètres!$A$1:$I$89,3,0)*VLOOKUP('Données projet'!$B$12,Paramètres!$A$1:$I$89,5,0)</f>
        <v>152.94239999999994</v>
      </c>
      <c r="CA82" s="13">
        <f t="shared" si="93"/>
        <v>39.246498705676878</v>
      </c>
      <c r="CB82" s="20">
        <f t="shared" si="64"/>
        <v>334.72899857905378</v>
      </c>
      <c r="CC82" s="59">
        <f t="shared" si="65"/>
        <v>628.06233191238709</v>
      </c>
      <c r="CD82" s="59">
        <f ca="1">AVERAGE(OFFSET($CC$3,0,0,'Données projet'!$E$12+1,1))-AVERAGE(OFFSET($H$3,0,0,'Données projet'!$E$12+1,1))</f>
        <v>123.60520571614535</v>
      </c>
      <c r="CE82" s="59">
        <f t="shared" si="94"/>
        <v>119.00926870519527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0.32864620500855168</v>
      </c>
      <c r="CL82" s="21">
        <f>EXP(-LN(2)/25)*CL81+(1-EXP(-LN(2)/25))/(LN(2)/25)*Calculateur!CG82*Calculateur!CI82*VLOOKUP('Données projet'!$B$12,Paramètres!$A$1:$I$89,3,0)*0.475*44/12</f>
        <v>1.2277627888353095</v>
      </c>
      <c r="CM82" s="21">
        <f>EXP(-LN(2)/2)*CM81+(1-EXP(-LN(2)/2))/(LN(2)/2)*CG82*CJ82*VLOOKUP('Données projet'!$B$12,Paramètres!$A$1:$I$89,3,0)*0.475*44/12</f>
        <v>2.576736299071196E-7</v>
      </c>
      <c r="CN82" s="22">
        <f t="shared" si="66"/>
        <v>1.5564092515174912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</v>
      </c>
      <c r="CT82" s="12">
        <f>IF('Données projet'!$A$140&gt;35,CT81+CS82-DB81,IF(A82&lt;'Données projet'!$A$140,$CQ$205^A82,IF(A82='Données projet'!$A$140,'Données projet'!$B$140,CT81+CS82-DB81)))</f>
        <v>201.19999999999996</v>
      </c>
      <c r="CU82" s="17">
        <f>CT82*VLOOKUP('Données projet'!$B$13,Paramètres!$A$1:$I$89,3,0)*VLOOKUP('Données projet'!$B$13,Paramètres!$A$1:$I$89,5,0)</f>
        <v>210.29423999999997</v>
      </c>
      <c r="CV82" s="13">
        <f t="shared" si="95"/>
        <v>51.999879300656886</v>
      </c>
      <c r="CW82" s="20">
        <f t="shared" si="67"/>
        <v>456.82892444864393</v>
      </c>
      <c r="CX82" s="59">
        <f t="shared" si="68"/>
        <v>750.16225778197725</v>
      </c>
      <c r="CY82" s="59">
        <f ca="1">AVERAGE(OFFSET($CX$3,0,0,'Données projet'!$E$13+1,1))-AVERAGE(OFFSET($H$3,0,0,'Données projet'!$E$13+1,1))</f>
        <v>177.94336949486529</v>
      </c>
      <c r="CZ82" s="59">
        <f t="shared" si="96"/>
        <v>65.559373432574603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371.00000000000006</v>
      </c>
      <c r="DP82" s="17">
        <f>DO82*VLOOKUP('Données projet'!$B$14,Paramètres!$A$1:$I$89,3,0)*VLOOKUP('Données projet'!$B$14,Paramètres!$A$1:$I$89,5,0)</f>
        <v>221.85800000000003</v>
      </c>
      <c r="DQ82" s="13">
        <f t="shared" si="97"/>
        <v>54.518514970322535</v>
      </c>
      <c r="DR82" s="20">
        <f t="shared" si="70"/>
        <v>481.35576357331178</v>
      </c>
      <c r="DS82" s="59">
        <f t="shared" si="71"/>
        <v>774.68909690664509</v>
      </c>
      <c r="DT82" s="59">
        <f ca="1">AVERAGE(OFFSET($DS$3,0,0,'Données projet'!$E$14+1,1))-AVERAGE(OFFSET($H$3,0,0,'Données projet'!$E$14+1,1))</f>
        <v>165.39579887388538</v>
      </c>
      <c r="DU82" s="59">
        <f t="shared" si="98"/>
        <v>155.89639262545802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1.873543433565072</v>
      </c>
      <c r="EC82" s="21">
        <f>EXP(-LN(2)/2)*EC81+(1-EXP(-LN(2)/2))/(LN(2)/2)*DW82*DZ82*VLOOKUP('Données projet'!$B$14,Paramètres!$A$1:$I$89,3,0)*0.475*44/12</f>
        <v>5.8499976346472801E-7</v>
      </c>
      <c r="ED82" s="22">
        <f t="shared" si="72"/>
        <v>1.8735440185648355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13.3</v>
      </c>
      <c r="EJ82" s="12">
        <f>IF('Données projet'!$A$192&gt;35,EJ81+EI82-ER81,IF(A82&lt;'Données projet'!$A$192,$EG$205^A82,IF(A82='Données projet'!$A$192,'Données projet'!$B$192,EJ81+EI82-ER81)))</f>
        <v>664.69999999999891</v>
      </c>
      <c r="EK82" s="17">
        <f>EJ82*VLOOKUP('Données projet'!$B$15,Paramètres!$A$1:$I$89,3,0)*VLOOKUP('Données projet'!$B$15,Paramètres!$A$1:$I$89,5,0)</f>
        <v>319.72069999999951</v>
      </c>
      <c r="EL82" s="13">
        <f t="shared" si="99"/>
        <v>75.295236913052307</v>
      </c>
      <c r="EM82" s="20">
        <f t="shared" si="73"/>
        <v>687.98609012356519</v>
      </c>
      <c r="EN82" s="59">
        <f t="shared" si="74"/>
        <v>981.31942345689845</v>
      </c>
      <c r="EO82" s="59">
        <f ca="1">AVERAGE(OFFSET($EN$3,0,0,'Données projet'!$E$15+1,1))-AVERAGE(OFFSET($H$3,0,0,'Données projet'!$E$15+1,1))</f>
        <v>252.30925789500111</v>
      </c>
      <c r="EP82" s="59">
        <f t="shared" si="100"/>
        <v>213.96033794804805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1.755367525439377</v>
      </c>
      <c r="EW82" s="21">
        <f>EXP(-LN(2)/25)*EW81+(1-EXP(-LN(2)/25))/(LN(2)/25)*Calculateur!ER82*Calculateur!ET82*VLOOKUP('Données projet'!$B$15,Paramètres!$A$1:$I$89,3,0)*0.475*44/12</f>
        <v>2.3719629415541412</v>
      </c>
      <c r="EX82" s="21">
        <f>EXP(-LN(2)/2)*EX81+(1-EXP(-LN(2)/2))/(LN(2)/2)*ER82*EU82*VLOOKUP('Données projet'!$B$15,Paramètres!$A$1:$I$89,3,0)*0.475*44/12</f>
        <v>6.0596794162496988E-7</v>
      </c>
      <c r="EY82" s="22">
        <f t="shared" si="75"/>
        <v>4.1273310729614598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13.3</v>
      </c>
      <c r="FE82" s="12">
        <f>IF('Données projet'!$A$218&gt;35,FE81+FD82-FM81,IF(A82&lt;'Données projet'!$A$218,$FB$205^A82,IF(A82='Données projet'!$A$218,'Données projet'!$B$218,FE81+FD82-FM81)))</f>
        <v>664.69999999999891</v>
      </c>
      <c r="FF82" s="17">
        <f>FE82*VLOOKUP('Données projet'!$B$16,Paramètres!$A$1:$I$89,3,0)*VLOOKUP('Données projet'!$B$16,Paramètres!$A$1:$I$89,5,0)</f>
        <v>319.72069999999951</v>
      </c>
      <c r="FG82" s="13">
        <f t="shared" si="101"/>
        <v>75.295236913052307</v>
      </c>
      <c r="FH82" s="20">
        <f t="shared" si="76"/>
        <v>687.98609012356519</v>
      </c>
      <c r="FI82" s="59">
        <f t="shared" si="77"/>
        <v>981.31942345689845</v>
      </c>
      <c r="FJ82" s="59">
        <f ca="1">AVERAGE(OFFSET($FI$3,0,0,'Données projet'!$E$16+1,1))-AVERAGE(OFFSET($H$3,0,0,'Données projet'!$E$16+1,1))</f>
        <v>252.30925789500111</v>
      </c>
      <c r="FK82" s="59">
        <f t="shared" si="102"/>
        <v>213.96033794804805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1.755367525439377</v>
      </c>
      <c r="FR82" s="21">
        <f>EXP(-LN(2)/25)*FR81+(1-EXP(-LN(2)/25))/(LN(2)/25)*Calculateur!FM82*Calculateur!FO82*VLOOKUP('Données projet'!$B$16,Paramètres!$A$1:$I$89,3,0)*0.475*44/12</f>
        <v>2.3719629415541412</v>
      </c>
      <c r="FS82" s="21">
        <f>EXP(-LN(2)/2)*FS81+(1-EXP(-LN(2)/2))/(LN(2)/2)*FM82*FP82*VLOOKUP('Données projet'!$B$16,Paramètres!$A$1:$I$89,3,0)*0.475*44/12</f>
        <v>6.0596794162496988E-7</v>
      </c>
      <c r="FT82" s="22">
        <f t="shared" si="78"/>
        <v>4.1273310729614598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117.54638373164624</v>
      </c>
      <c r="GF82" s="59">
        <f t="shared" si="104"/>
        <v>133.0740262536583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0.83830444102189372</v>
      </c>
      <c r="GM82" s="21">
        <f>EXP(-LN(2)/25)*GM81+(1-EXP(-LN(2)/25))/(LN(2)/25)*Calculateur!GH82*Calculateur!GJ82*VLOOKUP('Données projet'!$B$17,Paramètres!$A$1:$I$89,3,0)*0.475*44/12</f>
        <v>2.2247327343351451</v>
      </c>
      <c r="GN82" s="21">
        <f>EXP(-LN(2)/2)*GN81+(1-EXP(-LN(2)/2))/(LN(2)/2)*GH82*GK82*VLOOKUP('Données projet'!$B$17,Paramètres!$A$1:$I$89,3,0)*0.475*44/12</f>
        <v>1.7050602861959753E-7</v>
      </c>
      <c r="GO82" s="21">
        <f t="shared" si="81"/>
        <v>3.0630373458630671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2.8421709430404007E-14</v>
      </c>
      <c r="GV82" s="17">
        <f>GU82*VLOOKUP('Données projet'!$B$18,Paramètres!$A$1:$I$89,3,0)*VLOOKUP('Données projet'!$B$18,Paramètres!$A$1:$I$89,5,0)</f>
        <v>1.3567387213697657E-14</v>
      </c>
      <c r="GW82" s="13">
        <f t="shared" si="105"/>
        <v>2.5717320947985821E-13</v>
      </c>
      <c r="GX82" s="20">
        <f t="shared" si="82"/>
        <v>4.7153987257460977E-13</v>
      </c>
      <c r="GY82" s="59">
        <f t="shared" si="83"/>
        <v>293.33333333333377</v>
      </c>
      <c r="GZ82" s="59">
        <f ca="1">AVERAGE(OFFSET($GY$3,0,0,'Données projet'!$E$18+1,1))-AVERAGE(OFFSET($H$3,0,0,'Données projet'!$E$18+1,1))</f>
        <v>43.147469606759159</v>
      </c>
      <c r="HA82" s="59">
        <f t="shared" si="106"/>
        <v>147.46995307968473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13.664961942132981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2.3230477086450472E-8</v>
      </c>
      <c r="HJ82" s="22">
        <f t="shared" si="84"/>
        <v>13.664961965363458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206</v>
      </c>
      <c r="L83" s="12">
        <f>VLOOKUP(A83,'Données projet'!$A$35:$I$55,9,0)</f>
        <v>4.8</v>
      </c>
      <c r="M83" s="12">
        <f t="array" ref="M83">INDEX(L:L,MIN(IF(ISNUMBER(L83:L279),ROW(L83:L279),"")))</f>
        <v>4.8</v>
      </c>
      <c r="N83" s="13">
        <f>IF('Données projet'!$A$36&gt;35,N82+M83-V82,IF(A83&lt;'Données projet'!$A$36,$K$205^A83,IF(A83='Données projet'!$A$36,'Données projet'!$B$36,N82+M83-V82)))</f>
        <v>205.99999999999997</v>
      </c>
      <c r="O83" s="13">
        <f>N83*VLOOKUP('Données projet'!$B$9,Paramètres!$A$1:$I$89,3,0)*VLOOKUP('Données projet'!$B$9,Paramètres!$A$1:$I$89,5,0)</f>
        <v>186.38879999999997</v>
      </c>
      <c r="P83" s="13">
        <f t="shared" si="87"/>
        <v>46.740678346193498</v>
      </c>
      <c r="Q83" s="20">
        <f t="shared" si="54"/>
        <v>406.0338414529536</v>
      </c>
      <c r="R83" s="59">
        <f t="shared" si="55"/>
        <v>699.36717478628691</v>
      </c>
      <c r="S83" s="59">
        <f ca="1">AVERAGE(OFFSET($R$3,0,0,'Données projet'!$E$9+1,1))-AVERAGE(OFFSET($H$3,0,0,'Données projet'!$E$9+1,1))</f>
        <v>138.8931001150624</v>
      </c>
      <c r="T83" s="59">
        <f t="shared" si="88"/>
        <v>48.964659354096625</v>
      </c>
      <c r="U83" s="15">
        <f>IF(ISNA(VLOOKUP(A83,'Données projet'!$A$35:$I$55,3,0)),0,VLOOKUP(A83,'Données projet'!$A$35:$I$55,3,0))</f>
        <v>5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224</v>
      </c>
      <c r="AG83" s="12">
        <f>VLOOKUP(A83,'Données projet'!$A$61:$I$81,9,0)</f>
        <v>3.3</v>
      </c>
      <c r="AH83" s="12">
        <f t="array" ref="AH83">INDEX(AG:AG,MIN(IF(ISNUMBER(AG83:AG279),ROW(AG83:AG279),"")))</f>
        <v>3.3</v>
      </c>
      <c r="AI83" s="13">
        <f>IF('Données projet'!$A$62&gt;35,AI82+AH83-AQ82,IF(A83&lt;'Données projet'!$A$62,$AF$205^A83,IF(A83='Données projet'!$A$62,'Données projet'!$B$62,AI82+AH83-AQ82)))</f>
        <v>223.99999999999991</v>
      </c>
      <c r="AJ83" s="13">
        <f>AI83*VLOOKUP('Données projet'!$B$10,Paramètres!$A$1:$I$89,3,0)*VLOOKUP('Données projet'!$B$10,Paramètres!$A$1:$I$89,5,0)</f>
        <v>195.68639999999996</v>
      </c>
      <c r="AK83" s="13">
        <f t="shared" si="89"/>
        <v>48.794969360985156</v>
      </c>
      <c r="AL83" s="20">
        <f t="shared" si="58"/>
        <v>425.80505163704908</v>
      </c>
      <c r="AM83" s="59">
        <f t="shared" si="59"/>
        <v>719.13838497038239</v>
      </c>
      <c r="AN83" s="59">
        <f ca="1">AVERAGE(OFFSET($AM$3,0,0,'Données projet'!$E$10+1,1))-AVERAGE(OFFSET($H$3,0,0,'Données projet'!$E$10+1,1))</f>
        <v>191.94797389630673</v>
      </c>
      <c r="AO83" s="59">
        <f t="shared" si="90"/>
        <v>273.52540822767878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3.5120377620931222</v>
      </c>
      <c r="AW83" s="21">
        <f>EXP(-LN(2)/2)*AW82+(1-EXP(-LN(2)/2))/(LN(2)/2)*AQ83*AT83*VLOOKUP('Données projet'!$B$10,Paramètres!$A$1:$I$89,3,0)*0.475*44/12</f>
        <v>6.9150516151396556E-7</v>
      </c>
      <c r="AX83" s="21">
        <f t="shared" si="60"/>
        <v>4.4685209566490158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328</v>
      </c>
      <c r="BB83" s="12">
        <f>VLOOKUP(A83,'Données projet'!$A$87:$I$107,9,0)</f>
        <v>4.2</v>
      </c>
      <c r="BC83" s="12">
        <f t="array" ref="BC83">INDEX(BB:BB,MIN(IF(ISNUMBER(BB83:BB279),ROW(BB83:BB279),"")))</f>
        <v>4.2</v>
      </c>
      <c r="BD83" s="12">
        <f>IF('Données projet'!$A$88&gt;35,BD82+BC83-BL82,IF(A83&lt;'Données projet'!$A$88,$BA$205^A83,IF(A83='Données projet'!$A$88,'Données projet'!$B$88,BD82+BC83-BL82)))</f>
        <v>328.00000000000006</v>
      </c>
      <c r="BE83" s="13">
        <f>BD83*VLOOKUP('Données projet'!$B$11,Paramètres!$A$1:$I$89,3,0)*VLOOKUP('Données projet'!$B$11,Paramètres!$A$1:$I$89,5,0)</f>
        <v>204.67200000000005</v>
      </c>
      <c r="BF83" s="13">
        <f t="shared" si="91"/>
        <v>50.769547965810659</v>
      </c>
      <c r="BG83" s="20">
        <f t="shared" si="61"/>
        <v>444.89402937378696</v>
      </c>
      <c r="BH83" s="59">
        <f t="shared" si="62"/>
        <v>738.22736270712028</v>
      </c>
      <c r="BI83" s="59">
        <f ca="1">AVERAGE(OFFSET($BH$3,0,0,'Données projet'!$E$11+1,1))-AVERAGE(OFFSET($H$3,0,0,'Données projet'!$E$11+1,1))</f>
        <v>162.91481796710048</v>
      </c>
      <c r="BJ83" s="59">
        <f t="shared" si="92"/>
        <v>182.56192390367823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1.0332594181493273</v>
      </c>
      <c r="BQ83" s="21">
        <f>EXP(-LN(2)/25)*BQ82+(1-EXP(-LN(2)/25))/(LN(2)/25)*Calculateur!BL83*Calculateur!BN83*VLOOKUP('Données projet'!$B$11,Paramètres!$A$1:$I$89,3,0)*0.475*44/12</f>
        <v>3.8196494453821241</v>
      </c>
      <c r="BR83" s="21">
        <f>EXP(-LN(2)/2)*BR82+(1-EXP(-LN(2)/2))/(LN(2)/2)*BL83*BO83*VLOOKUP('Données projet'!$B$11,Paramètres!$A$1:$I$89,3,0)*0.475*44/12</f>
        <v>5.3553925173453752E-7</v>
      </c>
      <c r="BS83" s="22">
        <f t="shared" si="63"/>
        <v>4.852909399070704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334.5</v>
      </c>
      <c r="BW83" s="12">
        <f>VLOOKUP(A83,'Données projet'!$A$113:$I$133,9,0)</f>
        <v>7.7</v>
      </c>
      <c r="BX83" s="12">
        <f t="array" ref="BX83">INDEX(BW:BW,MIN(IF(ISNUMBER(BW83:BW279),ROW(BW83:BW279),"")))</f>
        <v>7.7</v>
      </c>
      <c r="BY83" s="12">
        <f>IF('Données projet'!$A$114&gt;35,BY82+BX83-CG82,IF(A83&lt;'Données projet'!$A$114,$BV$205^A83,IF(A83='Données projet'!$A$114,'Données projet'!$B$114,BY82+BX83-CG82)))</f>
        <v>334.49999999999983</v>
      </c>
      <c r="BZ83" s="13">
        <f>BY83*VLOOKUP('Données projet'!$B$12,Paramètres!$A$1:$I$89,3,0)*VLOOKUP('Données projet'!$B$12,Paramètres!$A$1:$I$89,5,0)</f>
        <v>156.54599999999991</v>
      </c>
      <c r="CA83" s="13">
        <f t="shared" si="93"/>
        <v>40.062469306923084</v>
      </c>
      <c r="CB83" s="20">
        <f t="shared" si="64"/>
        <v>342.42641737622415</v>
      </c>
      <c r="CC83" s="59">
        <f t="shared" si="65"/>
        <v>635.75975070955747</v>
      </c>
      <c r="CD83" s="59">
        <f ca="1">AVERAGE(OFFSET($CC$3,0,0,'Données projet'!$E$12+1,1))-AVERAGE(OFFSET($H$3,0,0,'Données projet'!$E$12+1,1))</f>
        <v>123.60520571614535</v>
      </c>
      <c r="CE83" s="59">
        <f t="shared" si="94"/>
        <v>119.00926870519527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46.3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0.32220165338272583</v>
      </c>
      <c r="CL83" s="21">
        <f>EXP(-LN(2)/25)*CL82+(1-EXP(-LN(2)/25))/(LN(2)/25)*Calculateur!CG83*Calculateur!CI83*VLOOKUP('Données projet'!$B$12,Paramètres!$A$1:$I$89,3,0)*0.475*44/12</f>
        <v>1.1941895508093689</v>
      </c>
      <c r="CM83" s="21">
        <f>EXP(-LN(2)/2)*CM82+(1-EXP(-LN(2)/2))/(LN(2)/2)*CG83*CJ83*VLOOKUP('Données projet'!$B$12,Paramètres!$A$1:$I$89,3,0)*0.475*44/12</f>
        <v>1.8220277104027705E-7</v>
      </c>
      <c r="CN83" s="22">
        <f t="shared" si="66"/>
        <v>1.5163913863948659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4.8</v>
      </c>
      <c r="CS83" s="12">
        <f t="array" ref="CS83">INDEX(CR:CR,MIN(IF(ISNUMBER(CR83:CR279),ROW(CR83:CR279),"")))</f>
        <v>4.8</v>
      </c>
      <c r="CT83" s="12">
        <f>IF('Données projet'!$A$140&gt;35,CT82+CS83-DB82,IF(A83&lt;'Données projet'!$A$140,$CQ$205^A83,IF(A83='Données projet'!$A$140,'Données projet'!$B$140,CT82+CS83-DB82)))</f>
        <v>205.99999999999997</v>
      </c>
      <c r="CU83" s="17">
        <f>CT83*VLOOKUP('Données projet'!$B$13,Paramètres!$A$1:$I$89,3,0)*VLOOKUP('Données projet'!$B$13,Paramètres!$A$1:$I$89,5,0)</f>
        <v>215.31119999999999</v>
      </c>
      <c r="CV83" s="13">
        <f t="shared" si="95"/>
        <v>53.094523989958148</v>
      </c>
      <c r="CW83" s="20">
        <f t="shared" si="67"/>
        <v>467.47330261584369</v>
      </c>
      <c r="CX83" s="59">
        <f t="shared" si="68"/>
        <v>760.80663594917701</v>
      </c>
      <c r="CY83" s="59">
        <f ca="1">AVERAGE(OFFSET($CX$3,0,0,'Données projet'!$E$13+1,1))-AVERAGE(OFFSET($H$3,0,0,'Données projet'!$E$13+1,1))</f>
        <v>177.94336949486529</v>
      </c>
      <c r="CZ83" s="59">
        <f t="shared" si="96"/>
        <v>65.559373432574603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377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377.00000000000006</v>
      </c>
      <c r="DP83" s="17">
        <f>DO83*VLOOKUP('Données projet'!$B$14,Paramètres!$A$1:$I$89,3,0)*VLOOKUP('Données projet'!$B$14,Paramètres!$A$1:$I$89,5,0)</f>
        <v>225.44600000000005</v>
      </c>
      <c r="DQ83" s="13">
        <f t="shared" si="97"/>
        <v>55.296857101810794</v>
      </c>
      <c r="DR83" s="20">
        <f t="shared" si="70"/>
        <v>488.96047611898717</v>
      </c>
      <c r="DS83" s="59">
        <f t="shared" si="71"/>
        <v>782.29380945232049</v>
      </c>
      <c r="DT83" s="59">
        <f ca="1">AVERAGE(OFFSET($DS$3,0,0,'Données projet'!$E$14+1,1))-AVERAGE(OFFSET($H$3,0,0,'Données projet'!$E$14+1,1))</f>
        <v>165.39579887388538</v>
      </c>
      <c r="DU83" s="59">
        <f t="shared" si="98"/>
        <v>155.89639262545802</v>
      </c>
      <c r="DV83" s="15">
        <f>IF(ISNA(VLOOKUP(A83,'Données projet'!$A$165:$I$185,3,0)),0,VLOOKUP(A83,'Données projet'!$A$165:$I$185,3,0))</f>
        <v>6</v>
      </c>
      <c r="DW83" s="15">
        <f>IF(ISNA(VLOOKUP(A83,'Données projet'!$A$165:$I$185,4,0)),0,VLOOKUP(A83,'Données projet'!$A$165:$I$185,4,0))</f>
        <v>377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1.822311289848868</v>
      </c>
      <c r="EC83" s="21">
        <f>EXP(-LN(2)/2)*EC82+(1-EXP(-LN(2)/2))/(LN(2)/2)*DW83*DZ83*VLOOKUP('Données projet'!$B$14,Paramètres!$A$1:$I$89,3,0)*0.475*44/12</f>
        <v>4.136572997384355E-7</v>
      </c>
      <c r="ED83" s="22">
        <f t="shared" si="72"/>
        <v>1.8223117035061678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678</v>
      </c>
      <c r="EH83" s="12">
        <f>VLOOKUP(A83,'Données projet'!$A$191:$I$211,9,0)</f>
        <v>13.3</v>
      </c>
      <c r="EI83" s="12">
        <f t="array" ref="EI83">INDEX(EH:EH,MIN(IF(ISNUMBER(EH83:EH279),ROW(EH83:EH279),"")))</f>
        <v>13.3</v>
      </c>
      <c r="EJ83" s="12">
        <f>IF('Données projet'!$A$192&gt;35,EJ82+EI83-ER82,IF(A83&lt;'Données projet'!$A$192,$EG$205^A83,IF(A83='Données projet'!$A$192,'Données projet'!$B$192,EJ82+EI83-ER82)))</f>
        <v>677.99999999999886</v>
      </c>
      <c r="EK83" s="17">
        <f>EJ83*VLOOKUP('Données projet'!$B$15,Paramètres!$A$1:$I$89,3,0)*VLOOKUP('Données projet'!$B$15,Paramètres!$A$1:$I$89,5,0)</f>
        <v>326.11799999999948</v>
      </c>
      <c r="EL83" s="13">
        <f t="shared" si="99"/>
        <v>76.624916074567736</v>
      </c>
      <c r="EM83" s="20">
        <f t="shared" si="73"/>
        <v>701.44391216320446</v>
      </c>
      <c r="EN83" s="59">
        <f t="shared" si="74"/>
        <v>994.77724549653772</v>
      </c>
      <c r="EO83" s="59">
        <f ca="1">AVERAGE(OFFSET($EN$3,0,0,'Données projet'!$E$15+1,1))-AVERAGE(OFFSET($H$3,0,0,'Données projet'!$E$15+1,1))</f>
        <v>252.30925789500111</v>
      </c>
      <c r="EP83" s="59">
        <f t="shared" si="100"/>
        <v>213.96033794804805</v>
      </c>
      <c r="EQ83" s="15">
        <f>IF(ISNA(VLOOKUP(A83,'Données projet'!$A$191:$I$211,3,0)),0,VLOOKUP(A83,'Données projet'!$A$191:$I$211,3,0))</f>
        <v>6</v>
      </c>
      <c r="ER83" s="15">
        <f>IF(ISNA(VLOOKUP(A83,'Données projet'!$A$191:$I$211,4,0)),0,VLOOKUP(A83,'Données projet'!$A$191:$I$211,4,0))</f>
        <v>678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1.7209458389339816</v>
      </c>
      <c r="EW83" s="21">
        <f>EXP(-LN(2)/25)*EW82+(1-EXP(-LN(2)/25))/(LN(2)/25)*Calculateur!ER83*Calculateur!ET83*VLOOKUP('Données projet'!$B$15,Paramètres!$A$1:$I$89,3,0)*0.475*44/12</f>
        <v>2.3071014901812332</v>
      </c>
      <c r="EX83" s="21">
        <f>EXP(-LN(2)/2)*EX82+(1-EXP(-LN(2)/2))/(LN(2)/2)*ER83*EU83*VLOOKUP('Données projet'!$B$15,Paramètres!$A$1:$I$89,3,0)*0.475*44/12</f>
        <v>4.2848404070467019E-7</v>
      </c>
      <c r="EY83" s="22">
        <f t="shared" si="75"/>
        <v>4.0280477575992562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678</v>
      </c>
      <c r="FC83" s="12">
        <f>VLOOKUP(A83,'Données projet'!$A$217:$I$237,9,0)</f>
        <v>13.3</v>
      </c>
      <c r="FD83" s="12">
        <f t="array" ref="FD83">INDEX(FC:FC,MIN(IF(ISNUMBER(FC83:FC279),ROW(FC83:FC279),"")))</f>
        <v>13.3</v>
      </c>
      <c r="FE83" s="12">
        <f>IF('Données projet'!$A$218&gt;35,FE82+FD83-FM82,IF(A83&lt;'Données projet'!$A$218,$FB$205^A83,IF(A83='Données projet'!$A$218,'Données projet'!$B$218,FE82+FD83-FM82)))</f>
        <v>677.99999999999886</v>
      </c>
      <c r="FF83" s="17">
        <f>FE83*VLOOKUP('Données projet'!$B$16,Paramètres!$A$1:$I$89,3,0)*VLOOKUP('Données projet'!$B$16,Paramètres!$A$1:$I$89,5,0)</f>
        <v>326.11799999999948</v>
      </c>
      <c r="FG83" s="13">
        <f t="shared" si="101"/>
        <v>76.624916074567736</v>
      </c>
      <c r="FH83" s="20">
        <f t="shared" si="76"/>
        <v>701.44391216320446</v>
      </c>
      <c r="FI83" s="59">
        <f t="shared" si="77"/>
        <v>994.77724549653772</v>
      </c>
      <c r="FJ83" s="59">
        <f ca="1">AVERAGE(OFFSET($FI$3,0,0,'Données projet'!$E$16+1,1))-AVERAGE(OFFSET($H$3,0,0,'Données projet'!$E$16+1,1))</f>
        <v>252.30925789500111</v>
      </c>
      <c r="FK83" s="59">
        <f t="shared" si="102"/>
        <v>213.96033794804805</v>
      </c>
      <c r="FL83" s="15">
        <f>IF(ISNA(VLOOKUP(A83,'Données projet'!$A$217:$I$237,3,0)),0,VLOOKUP(A83,'Données projet'!$A$217:$I$237,3,0))</f>
        <v>6</v>
      </c>
      <c r="FM83" s="15">
        <f>IF(ISNA(VLOOKUP(A83,'Données projet'!$A$217:$I$237,4,0)),0,VLOOKUP(A83,'Données projet'!$A$217:$I$237,4,0))</f>
        <v>678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1.7209458389339816</v>
      </c>
      <c r="FR83" s="21">
        <f>EXP(-LN(2)/25)*FR82+(1-EXP(-LN(2)/25))/(LN(2)/25)*Calculateur!FM83*Calculateur!FO83*VLOOKUP('Données projet'!$B$16,Paramètres!$A$1:$I$89,3,0)*0.475*44/12</f>
        <v>2.3071014901812332</v>
      </c>
      <c r="FS83" s="21">
        <f>EXP(-LN(2)/2)*FS82+(1-EXP(-LN(2)/2))/(LN(2)/2)*FM83*FP83*VLOOKUP('Données projet'!$B$16,Paramètres!$A$1:$I$89,3,0)*0.475*44/12</f>
        <v>4.2848404070467019E-7</v>
      </c>
      <c r="FT83" s="22">
        <f t="shared" si="78"/>
        <v>4.0280477575992562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117.54638373164624</v>
      </c>
      <c r="GF83" s="59">
        <f t="shared" si="104"/>
        <v>133.0740262536583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0.82186580224867523</v>
      </c>
      <c r="GM83" s="21">
        <f>EXP(-LN(2)/25)*GM82+(1-EXP(-LN(2)/25))/(LN(2)/25)*Calculateur!GH83*Calculateur!GJ83*VLOOKUP('Données projet'!$B$17,Paramètres!$A$1:$I$89,3,0)*0.475*44/12</f>
        <v>2.1638973007211408</v>
      </c>
      <c r="GN83" s="21">
        <f>EXP(-LN(2)/2)*GN82+(1-EXP(-LN(2)/2))/(LN(2)/2)*GH83*GK83*VLOOKUP('Données projet'!$B$17,Paramètres!$A$1:$I$89,3,0)*0.475*44/12</f>
        <v>1.2056596907010496E-7</v>
      </c>
      <c r="GO83" s="21">
        <f t="shared" si="81"/>
        <v>2.9857632235357854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2.8421709430404007E-14</v>
      </c>
      <c r="GV83" s="17">
        <f>GU83*VLOOKUP('Données projet'!$B$18,Paramètres!$A$1:$I$89,3,0)*VLOOKUP('Données projet'!$B$18,Paramètres!$A$1:$I$89,5,0)</f>
        <v>1.3567387213697657E-14</v>
      </c>
      <c r="GW83" s="13">
        <f t="shared" si="105"/>
        <v>2.5717320947985821E-13</v>
      </c>
      <c r="GX83" s="20">
        <f t="shared" si="82"/>
        <v>4.7153987257460977E-13</v>
      </c>
      <c r="GY83" s="59">
        <f t="shared" si="83"/>
        <v>293.33333333333377</v>
      </c>
      <c r="GZ83" s="59">
        <f ca="1">AVERAGE(OFFSET($GY$3,0,0,'Données projet'!$E$18+1,1))-AVERAGE(OFFSET($H$3,0,0,'Données projet'!$E$18+1,1))</f>
        <v>43.147469606759159</v>
      </c>
      <c r="HA83" s="59">
        <f t="shared" si="106"/>
        <v>147.46995307968473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13.397000373251545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1.642642787802784E-8</v>
      </c>
      <c r="HJ83" s="22">
        <f t="shared" si="84"/>
        <v>13.397000389677974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4.3</v>
      </c>
      <c r="N84" s="13">
        <f>IF('Données projet'!$A$36&gt;35,N83+M84-V83,IF(A84&lt;'Données projet'!$A$36,$K$205^A84,IF(A84='Données projet'!$A$36,'Données projet'!$B$36,N83+M84-V83)))</f>
        <v>182.29999999999998</v>
      </c>
      <c r="O84" s="13">
        <f>N84*VLOOKUP('Données projet'!$B$9,Paramètres!$A$1:$I$89,3,0)*VLOOKUP('Données projet'!$B$9,Paramètres!$A$1:$I$89,5,0)</f>
        <v>164.94503999999998</v>
      </c>
      <c r="P84" s="13">
        <f t="shared" si="87"/>
        <v>41.955899409919233</v>
      </c>
      <c r="Q84" s="20">
        <f t="shared" si="54"/>
        <v>360.35246947227597</v>
      </c>
      <c r="R84" s="59">
        <f t="shared" si="55"/>
        <v>653.68580280560923</v>
      </c>
      <c r="S84" s="59">
        <f ca="1">AVERAGE(OFFSET($R$3,0,0,'Données projet'!$E$9+1,1))-AVERAGE(OFFSET($H$3,0,0,'Données projet'!$E$9+1,1))</f>
        <v>138.8931001150624</v>
      </c>
      <c r="T84" s="59">
        <f t="shared" si="88"/>
        <v>48.964659354096625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2.5</v>
      </c>
      <c r="AI84" s="13">
        <f>IF('Données projet'!$A$62&gt;35,AI83+AH84-AQ83,IF(A84&lt;'Données projet'!$A$62,$AF$205^A84,IF(A84='Données projet'!$A$62,'Données projet'!$B$62,AI83+AH84-AQ83)))</f>
        <v>202.49999999999991</v>
      </c>
      <c r="AJ84" s="13">
        <f>AI84*VLOOKUP('Données projet'!$B$10,Paramètres!$A$1:$I$89,3,0)*VLOOKUP('Données projet'!$B$10,Paramètres!$A$1:$I$89,5,0)</f>
        <v>176.90399999999994</v>
      </c>
      <c r="AK84" s="13">
        <f t="shared" si="89"/>
        <v>44.632689233663157</v>
      </c>
      <c r="AL84" s="20">
        <f t="shared" si="58"/>
        <v>385.84306708196317</v>
      </c>
      <c r="AM84" s="59">
        <f t="shared" si="59"/>
        <v>679.17640041529648</v>
      </c>
      <c r="AN84" s="59">
        <f ca="1">AVERAGE(OFFSET($AM$3,0,0,'Données projet'!$E$10+1,1))-AVERAGE(OFFSET($H$3,0,0,'Données projet'!$E$10+1,1))</f>
        <v>191.94797389630673</v>
      </c>
      <c r="AO84" s="59">
        <f t="shared" si="90"/>
        <v>273.52540822767878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3.4160009047986466</v>
      </c>
      <c r="AW84" s="21">
        <f>EXP(-LN(2)/2)*AW83+(1-EXP(-LN(2)/2))/(LN(2)/2)*AQ84*AT84*VLOOKUP('Données projet'!$B$10,Paramètres!$A$1:$I$89,3,0)*0.475*44/12</f>
        <v>4.8896798893202383E-7</v>
      </c>
      <c r="AX84" s="21">
        <f t="shared" si="60"/>
        <v>4.3537278583292638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3.5470293369144201E-14</v>
      </c>
      <c r="BF84" s="13">
        <f t="shared" si="91"/>
        <v>6.0119115841663204E-13</v>
      </c>
      <c r="BG84" s="20">
        <f t="shared" si="61"/>
        <v>1.1088520285268936E-12</v>
      </c>
      <c r="BH84" s="59">
        <f t="shared" si="62"/>
        <v>293.33333333333445</v>
      </c>
      <c r="BI84" s="59">
        <f ca="1">AVERAGE(OFFSET($BH$3,0,0,'Données projet'!$E$11+1,1))-AVERAGE(OFFSET($H$3,0,0,'Données projet'!$E$11+1,1))</f>
        <v>162.91481796710048</v>
      </c>
      <c r="BJ84" s="59">
        <f t="shared" si="92"/>
        <v>182.56192390367823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1.0129978311854344</v>
      </c>
      <c r="BQ84" s="21">
        <f>EXP(-LN(2)/25)*BQ83+(1-EXP(-LN(2)/25))/(LN(2)/25)*Calculateur!BL84*Calculateur!BN84*VLOOKUP('Données projet'!$B$11,Paramètres!$A$1:$I$89,3,0)*0.475*44/12</f>
        <v>3.7152009304315157</v>
      </c>
      <c r="BR84" s="21">
        <f>EXP(-LN(2)/2)*BR83+(1-EXP(-LN(2)/2))/(LN(2)/2)*BL84*BO84*VLOOKUP('Données projet'!$B$11,Paramètres!$A$1:$I$89,3,0)*0.475*44/12</f>
        <v>3.7868343649306103E-7</v>
      </c>
      <c r="BS84" s="22">
        <f t="shared" si="63"/>
        <v>4.7281991403003865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8.3000000000000007</v>
      </c>
      <c r="BY84" s="12">
        <f>IF('Données projet'!$A$114&gt;35,BY83+BX84-CG83,IF(A84&lt;'Données projet'!$A$114,$BV$205^A84,IF(A84='Données projet'!$A$114,'Données projet'!$B$114,BY83+BX84-CG83)))</f>
        <v>296.49999999999983</v>
      </c>
      <c r="BZ84" s="13">
        <f>BY84*VLOOKUP('Données projet'!$B$12,Paramètres!$A$1:$I$89,3,0)*VLOOKUP('Données projet'!$B$12,Paramètres!$A$1:$I$89,5,0)</f>
        <v>138.76199999999992</v>
      </c>
      <c r="CA84" s="13">
        <f t="shared" si="93"/>
        <v>36.01325063671441</v>
      </c>
      <c r="CB84" s="20">
        <f t="shared" si="64"/>
        <v>304.40022819227744</v>
      </c>
      <c r="CC84" s="59">
        <f t="shared" si="65"/>
        <v>597.73356152561075</v>
      </c>
      <c r="CD84" s="59">
        <f ca="1">AVERAGE(OFFSET($CC$3,0,0,'Données projet'!$E$12+1,1))-AVERAGE(OFFSET($H$3,0,0,'Données projet'!$E$12+1,1))</f>
        <v>123.60520571614535</v>
      </c>
      <c r="CE84" s="59">
        <f t="shared" si="94"/>
        <v>119.00926870519527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0.31588347548349405</v>
      </c>
      <c r="CL84" s="21">
        <f>EXP(-LN(2)/25)*CL83+(1-EXP(-LN(2)/25))/(LN(2)/25)*Calculateur!CG84*Calculateur!CI84*VLOOKUP('Données projet'!$B$12,Paramètres!$A$1:$I$89,3,0)*0.475*44/12</f>
        <v>1.1615343747427875</v>
      </c>
      <c r="CM84" s="21">
        <f>EXP(-LN(2)/2)*CM83+(1-EXP(-LN(2)/2))/(LN(2)/2)*CG84*CJ84*VLOOKUP('Données projet'!$B$12,Paramètres!$A$1:$I$89,3,0)*0.475*44/12</f>
        <v>1.288368149535598E-7</v>
      </c>
      <c r="CN84" s="22">
        <f t="shared" si="66"/>
        <v>1.4774179790630966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182.29999999999998</v>
      </c>
      <c r="CU84" s="17">
        <f>CT84*VLOOKUP('Données projet'!$B$13,Paramètres!$A$1:$I$89,3,0)*VLOOKUP('Données projet'!$B$13,Paramètres!$A$1:$I$89,5,0)</f>
        <v>190.53995999999998</v>
      </c>
      <c r="CV84" s="13">
        <f t="shared" si="95"/>
        <v>47.659310616779806</v>
      </c>
      <c r="CW84" s="20">
        <f t="shared" si="67"/>
        <v>414.86372965755805</v>
      </c>
      <c r="CX84" s="59">
        <f t="shared" si="68"/>
        <v>708.19706299089137</v>
      </c>
      <c r="CY84" s="59">
        <f ca="1">AVERAGE(OFFSET($CX$3,0,0,'Données projet'!$E$13+1,1))-AVERAGE(OFFSET($H$3,0,0,'Données projet'!$E$13+1,1))</f>
        <v>177.94336949486529</v>
      </c>
      <c r="CZ84" s="59">
        <f t="shared" si="96"/>
        <v>65.559373432574603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3.3992364478763198E-14</v>
      </c>
      <c r="DQ84" s="13">
        <f t="shared" si="97"/>
        <v>5.790027782444094E-13</v>
      </c>
      <c r="DR84" s="20">
        <f t="shared" si="70"/>
        <v>1.0676332069095257E-12</v>
      </c>
      <c r="DS84" s="59">
        <f t="shared" si="71"/>
        <v>293.33333333333439</v>
      </c>
      <c r="DT84" s="59">
        <f ca="1">AVERAGE(OFFSET($DS$3,0,0,'Données projet'!$E$14+1,1))-AVERAGE(OFFSET($H$3,0,0,'Données projet'!$E$14+1,1))</f>
        <v>165.39579887388538</v>
      </c>
      <c r="DU84" s="59">
        <f t="shared" si="98"/>
        <v>155.89639262545802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1.7724800917967649</v>
      </c>
      <c r="EC84" s="21">
        <f>EXP(-LN(2)/2)*EC83+(1-EXP(-LN(2)/2))/(LN(2)/2)*DW84*DZ84*VLOOKUP('Données projet'!$B$14,Paramètres!$A$1:$I$89,3,0)*0.475*44/12</f>
        <v>2.9249988173236401E-7</v>
      </c>
      <c r="ED84" s="22">
        <f t="shared" si="72"/>
        <v>1.7724803842966466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-1.1368683772161603E-12</v>
      </c>
      <c r="EK84" s="17">
        <f>EJ84*VLOOKUP('Données projet'!$B$15,Paramètres!$A$1:$I$89,3,0)*VLOOKUP('Données projet'!$B$15,Paramètres!$A$1:$I$89,5,0)</f>
        <v>-5.4683368944097316E-13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252.30925789500111</v>
      </c>
      <c r="EP84" s="59">
        <f t="shared" si="100"/>
        <v>213.96033794804805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1.6871991407058013</v>
      </c>
      <c r="EW84" s="21">
        <f>EXP(-LN(2)/25)*EW83+(1-EXP(-LN(2)/25))/(LN(2)/25)*Calculateur!ER84*Calculateur!ET84*VLOOKUP('Données projet'!$B$15,Paramètres!$A$1:$I$89,3,0)*0.475*44/12</f>
        <v>2.244013678607033</v>
      </c>
      <c r="EX84" s="21">
        <f>EXP(-LN(2)/2)*EX83+(1-EXP(-LN(2)/2))/(LN(2)/2)*ER84*EU84*VLOOKUP('Données projet'!$B$15,Paramètres!$A$1:$I$89,3,0)*0.475*44/12</f>
        <v>3.0298397081248494E-7</v>
      </c>
      <c r="EY84" s="22">
        <f t="shared" si="75"/>
        <v>3.9312131222968052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-1.1368683772161603E-12</v>
      </c>
      <c r="FF84" s="17">
        <f>FE84*VLOOKUP('Données projet'!$B$16,Paramètres!$A$1:$I$89,3,0)*VLOOKUP('Données projet'!$B$16,Paramètres!$A$1:$I$89,5,0)</f>
        <v>-5.4683368944097316E-13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252.30925789500111</v>
      </c>
      <c r="FK84" s="59">
        <f t="shared" si="102"/>
        <v>213.96033794804805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1.6871991407058013</v>
      </c>
      <c r="FR84" s="21">
        <f>EXP(-LN(2)/25)*FR83+(1-EXP(-LN(2)/25))/(LN(2)/25)*Calculateur!FM84*Calculateur!FO84*VLOOKUP('Données projet'!$B$16,Paramètres!$A$1:$I$89,3,0)*0.475*44/12</f>
        <v>2.244013678607033</v>
      </c>
      <c r="FS84" s="21">
        <f>EXP(-LN(2)/2)*FS83+(1-EXP(-LN(2)/2))/(LN(2)/2)*FM84*FP84*VLOOKUP('Données projet'!$B$16,Paramètres!$A$1:$I$89,3,0)*0.475*44/12</f>
        <v>3.0298397081248494E-7</v>
      </c>
      <c r="FT84" s="22">
        <f t="shared" si="78"/>
        <v>3.9312131222968052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117.54638373164624</v>
      </c>
      <c r="GF84" s="59">
        <f t="shared" si="104"/>
        <v>133.0740262536583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0.80574951515521998</v>
      </c>
      <c r="GM84" s="21">
        <f>EXP(-LN(2)/25)*GM83+(1-EXP(-LN(2)/25))/(LN(2)/25)*Calculateur!GH84*Calculateur!GJ84*VLOOKUP('Données projet'!$B$17,Paramètres!$A$1:$I$89,3,0)*0.475*44/12</f>
        <v>2.1047254152385078</v>
      </c>
      <c r="GN84" s="21">
        <f>EXP(-LN(2)/2)*GN83+(1-EXP(-LN(2)/2))/(LN(2)/2)*GH84*GK84*VLOOKUP('Données projet'!$B$17,Paramètres!$A$1:$I$89,3,0)*0.475*44/12</f>
        <v>8.5253014309798767E-8</v>
      </c>
      <c r="GO84" s="21">
        <f t="shared" si="81"/>
        <v>2.910475015646742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2.8421709430404007E-14</v>
      </c>
      <c r="GV84" s="17">
        <f>GU84*VLOOKUP('Données projet'!$B$18,Paramètres!$A$1:$I$89,3,0)*VLOOKUP('Données projet'!$B$18,Paramètres!$A$1:$I$89,5,0)</f>
        <v>1.3567387213697657E-14</v>
      </c>
      <c r="GW84" s="13">
        <f t="shared" si="105"/>
        <v>2.5717320947985821E-13</v>
      </c>
      <c r="GX84" s="20">
        <f t="shared" si="82"/>
        <v>4.7153987257460977E-13</v>
      </c>
      <c r="GY84" s="59">
        <f t="shared" si="83"/>
        <v>293.33333333333377</v>
      </c>
      <c r="GZ84" s="59">
        <f ca="1">AVERAGE(OFFSET($GY$3,0,0,'Données projet'!$E$18+1,1))-AVERAGE(OFFSET($H$3,0,0,'Données projet'!$E$18+1,1))</f>
        <v>43.147469606759159</v>
      </c>
      <c r="HA84" s="59">
        <f t="shared" si="106"/>
        <v>147.46995307968473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13.134293367295456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1.1615238543225236E-8</v>
      </c>
      <c r="HJ84" s="22">
        <f t="shared" si="84"/>
        <v>13.134293378910694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4.3</v>
      </c>
      <c r="N85" s="13">
        <f>IF('Données projet'!$A$36&gt;35,N84+M85-V84,IF(A85&lt;'Données projet'!$A$36,$K$205^A85,IF(A85='Données projet'!$A$36,'Données projet'!$B$36,N84+M85-V84)))</f>
        <v>186.6</v>
      </c>
      <c r="O85" s="13">
        <f>N85*VLOOKUP('Données projet'!$B$9,Paramètres!$A$1:$I$89,3,0)*VLOOKUP('Données projet'!$B$9,Paramètres!$A$1:$I$89,5,0)</f>
        <v>168.83568</v>
      </c>
      <c r="P85" s="13">
        <f t="shared" si="87"/>
        <v>42.829150426593394</v>
      </c>
      <c r="Q85" s="20">
        <f t="shared" si="54"/>
        <v>368.6495796596501</v>
      </c>
      <c r="R85" s="59">
        <f t="shared" si="55"/>
        <v>661.98291299298342</v>
      </c>
      <c r="S85" s="59">
        <f ca="1">AVERAGE(OFFSET($R$3,0,0,'Données projet'!$E$9+1,1))-AVERAGE(OFFSET($H$3,0,0,'Données projet'!$E$9+1,1))</f>
        <v>138.8931001150624</v>
      </c>
      <c r="T85" s="59">
        <f t="shared" si="88"/>
        <v>48.964659354096625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2.5</v>
      </c>
      <c r="AI85" s="13">
        <f>IF('Données projet'!$A$62&gt;35,AI84+AH85-AQ84,IF(A85&lt;'Données projet'!$A$62,$AF$205^A85,IF(A85='Données projet'!$A$62,'Données projet'!$B$62,AI84+AH85-AQ84)))</f>
        <v>204.99999999999991</v>
      </c>
      <c r="AJ85" s="13">
        <f>AI85*VLOOKUP('Données projet'!$B$10,Paramètres!$A$1:$I$89,3,0)*VLOOKUP('Données projet'!$B$10,Paramètres!$A$1:$I$89,5,0)</f>
        <v>179.08799999999997</v>
      </c>
      <c r="AK85" s="13">
        <f t="shared" si="89"/>
        <v>45.119223023956835</v>
      </c>
      <c r="AL85" s="20">
        <f t="shared" si="58"/>
        <v>390.49424676672476</v>
      </c>
      <c r="AM85" s="59">
        <f t="shared" si="59"/>
        <v>683.82758010005807</v>
      </c>
      <c r="AN85" s="59">
        <f ca="1">AVERAGE(OFFSET($AM$3,0,0,'Données projet'!$E$10+1,1))-AVERAGE(OFFSET($H$3,0,0,'Données projet'!$E$10+1,1))</f>
        <v>191.94797389630673</v>
      </c>
      <c r="AO85" s="59">
        <f t="shared" si="90"/>
        <v>273.52540822767878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3.3225901804172473</v>
      </c>
      <c r="AW85" s="21">
        <f>EXP(-LN(2)/2)*AW84+(1-EXP(-LN(2)/2))/(LN(2)/2)*AQ85*AT85*VLOOKUP('Données projet'!$B$10,Paramètres!$A$1:$I$89,3,0)*0.475*44/12</f>
        <v>3.4575258075698278E-7</v>
      </c>
      <c r="AX85" s="21">
        <f t="shared" si="60"/>
        <v>4.2419287467190507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3.5470293369144201E-14</v>
      </c>
      <c r="BF85" s="13">
        <f t="shared" si="91"/>
        <v>6.0119115841663204E-13</v>
      </c>
      <c r="BG85" s="20">
        <f t="shared" si="61"/>
        <v>1.1088520285268936E-12</v>
      </c>
      <c r="BH85" s="59">
        <f t="shared" si="62"/>
        <v>293.33333333333445</v>
      </c>
      <c r="BI85" s="59">
        <f ca="1">AVERAGE(OFFSET($BH$3,0,0,'Données projet'!$E$11+1,1))-AVERAGE(OFFSET($H$3,0,0,'Données projet'!$E$11+1,1))</f>
        <v>162.91481796710048</v>
      </c>
      <c r="BJ85" s="59">
        <f t="shared" si="92"/>
        <v>182.56192390367823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0.9931335615835557</v>
      </c>
      <c r="BQ85" s="21">
        <f>EXP(-LN(2)/25)*BQ84+(1-EXP(-LN(2)/25))/(LN(2)/25)*Calculateur!BL85*Calculateur!BN85*VLOOKUP('Données projet'!$B$11,Paramètres!$A$1:$I$89,3,0)*0.475*44/12</f>
        <v>3.6136085656149399</v>
      </c>
      <c r="BR85" s="21">
        <f>EXP(-LN(2)/2)*BR84+(1-EXP(-LN(2)/2))/(LN(2)/2)*BL85*BO85*VLOOKUP('Données projet'!$B$11,Paramètres!$A$1:$I$89,3,0)*0.475*44/12</f>
        <v>2.6776962586726876E-7</v>
      </c>
      <c r="BS85" s="22">
        <f t="shared" si="63"/>
        <v>4.6067423949681219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8.3000000000000007</v>
      </c>
      <c r="BY85" s="12">
        <f>IF('Données projet'!$A$114&gt;35,BY84+BX85-CG84,IF(A85&lt;'Données projet'!$A$114,$BV$205^A85,IF(A85='Données projet'!$A$114,'Données projet'!$B$114,BY84+BX85-CG84)))</f>
        <v>304.79999999999984</v>
      </c>
      <c r="BZ85" s="13">
        <f>BY85*VLOOKUP('Données projet'!$B$12,Paramètres!$A$1:$I$89,3,0)*VLOOKUP('Données projet'!$B$12,Paramètres!$A$1:$I$89,5,0)</f>
        <v>142.64639999999991</v>
      </c>
      <c r="CA85" s="13">
        <f t="shared" si="93"/>
        <v>36.902596251289559</v>
      </c>
      <c r="CB85" s="20">
        <f t="shared" si="64"/>
        <v>312.71450180432913</v>
      </c>
      <c r="CC85" s="59">
        <f t="shared" si="65"/>
        <v>606.04783513766245</v>
      </c>
      <c r="CD85" s="59">
        <f ca="1">AVERAGE(OFFSET($CC$3,0,0,'Données projet'!$E$12+1,1))-AVERAGE(OFFSET($H$3,0,0,'Données projet'!$E$12+1,1))</f>
        <v>123.60520571614535</v>
      </c>
      <c r="CE85" s="59">
        <f t="shared" si="94"/>
        <v>119.00926870519527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0.30968919319915822</v>
      </c>
      <c r="CL85" s="21">
        <f>EXP(-LN(2)/25)*CL84+(1-EXP(-LN(2)/25))/(LN(2)/25)*Calculateur!CG85*Calculateur!CI85*VLOOKUP('Données projet'!$B$12,Paramètres!$A$1:$I$89,3,0)*0.475*44/12</f>
        <v>1.1297721561830079</v>
      </c>
      <c r="CM85" s="21">
        <f>EXP(-LN(2)/2)*CM84+(1-EXP(-LN(2)/2))/(LN(2)/2)*CG85*CJ85*VLOOKUP('Données projet'!$B$12,Paramètres!$A$1:$I$89,3,0)*0.475*44/12</f>
        <v>9.1101385520138524E-8</v>
      </c>
      <c r="CN85" s="22">
        <f t="shared" si="66"/>
        <v>1.4394614404835515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186.6</v>
      </c>
      <c r="CU85" s="17">
        <f>CT85*VLOOKUP('Données projet'!$B$13,Paramètres!$A$1:$I$89,3,0)*VLOOKUP('Données projet'!$B$13,Paramètres!$A$1:$I$89,5,0)</f>
        <v>195.03432000000001</v>
      </c>
      <c r="CV85" s="13">
        <f t="shared" si="95"/>
        <v>48.651269841475894</v>
      </c>
      <c r="CW85" s="20">
        <f t="shared" si="67"/>
        <v>424.41906897390385</v>
      </c>
      <c r="CX85" s="59">
        <f t="shared" si="68"/>
        <v>717.75240230723716</v>
      </c>
      <c r="CY85" s="59">
        <f ca="1">AVERAGE(OFFSET($CX$3,0,0,'Données projet'!$E$13+1,1))-AVERAGE(OFFSET($H$3,0,0,'Données projet'!$E$13+1,1))</f>
        <v>177.94336949486529</v>
      </c>
      <c r="CZ85" s="59">
        <f t="shared" si="96"/>
        <v>65.559373432574603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3.3992364478763198E-14</v>
      </c>
      <c r="DQ85" s="13">
        <f t="shared" si="97"/>
        <v>5.790027782444094E-13</v>
      </c>
      <c r="DR85" s="20">
        <f t="shared" si="70"/>
        <v>1.0676332069095257E-12</v>
      </c>
      <c r="DS85" s="59">
        <f t="shared" si="71"/>
        <v>293.33333333333439</v>
      </c>
      <c r="DT85" s="59">
        <f ca="1">AVERAGE(OFFSET($DS$3,0,0,'Données projet'!$E$14+1,1))-AVERAGE(OFFSET($H$3,0,0,'Données projet'!$E$14+1,1))</f>
        <v>165.39579887388538</v>
      </c>
      <c r="DU85" s="59">
        <f t="shared" si="98"/>
        <v>155.89639262545802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1.7240115304759054</v>
      </c>
      <c r="EC85" s="21">
        <f>EXP(-LN(2)/2)*EC84+(1-EXP(-LN(2)/2))/(LN(2)/2)*DW85*DZ85*VLOOKUP('Données projet'!$B$14,Paramètres!$A$1:$I$89,3,0)*0.475*44/12</f>
        <v>2.0682864986921775E-7</v>
      </c>
      <c r="ED85" s="22">
        <f t="shared" si="72"/>
        <v>1.7240117373045551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-1.1368683772161603E-12</v>
      </c>
      <c r="EK85" s="17">
        <f>EJ85*VLOOKUP('Données projet'!$B$15,Paramètres!$A$1:$I$89,3,0)*VLOOKUP('Données projet'!$B$15,Paramètres!$A$1:$I$89,5,0)</f>
        <v>-5.4683368944097316E-13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252.30925789500111</v>
      </c>
      <c r="EP85" s="59">
        <f t="shared" si="100"/>
        <v>213.96033794804805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1.6541141946464222</v>
      </c>
      <c r="EW85" s="21">
        <f>EXP(-LN(2)/25)*EW84+(1-EXP(-LN(2)/25))/(LN(2)/25)*Calculateur!ER85*Calculateur!ET85*VLOOKUP('Données projet'!$B$15,Paramètres!$A$1:$I$89,3,0)*0.475*44/12</f>
        <v>2.1826510065579732</v>
      </c>
      <c r="EX85" s="21">
        <f>EXP(-LN(2)/2)*EX84+(1-EXP(-LN(2)/2))/(LN(2)/2)*ER85*EU85*VLOOKUP('Données projet'!$B$15,Paramètres!$A$1:$I$89,3,0)*0.475*44/12</f>
        <v>2.1424202035233509E-7</v>
      </c>
      <c r="EY85" s="22">
        <f t="shared" si="75"/>
        <v>3.8367654154464157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-1.1368683772161603E-12</v>
      </c>
      <c r="FF85" s="17">
        <f>FE85*VLOOKUP('Données projet'!$B$16,Paramètres!$A$1:$I$89,3,0)*VLOOKUP('Données projet'!$B$16,Paramètres!$A$1:$I$89,5,0)</f>
        <v>-5.4683368944097316E-13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252.30925789500111</v>
      </c>
      <c r="FK85" s="59">
        <f t="shared" si="102"/>
        <v>213.96033794804805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1.6541141946464222</v>
      </c>
      <c r="FR85" s="21">
        <f>EXP(-LN(2)/25)*FR84+(1-EXP(-LN(2)/25))/(LN(2)/25)*Calculateur!FM85*Calculateur!FO85*VLOOKUP('Données projet'!$B$16,Paramètres!$A$1:$I$89,3,0)*0.475*44/12</f>
        <v>2.1826510065579732</v>
      </c>
      <c r="FS85" s="21">
        <f>EXP(-LN(2)/2)*FS84+(1-EXP(-LN(2)/2))/(LN(2)/2)*FM85*FP85*VLOOKUP('Données projet'!$B$16,Paramètres!$A$1:$I$89,3,0)*0.475*44/12</f>
        <v>2.1424202035233509E-7</v>
      </c>
      <c r="FT85" s="22">
        <f t="shared" si="78"/>
        <v>3.8367654154464157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117.54638373164624</v>
      </c>
      <c r="GF85" s="59">
        <f t="shared" si="104"/>
        <v>133.0740262536583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0.78994925862170284</v>
      </c>
      <c r="GM85" s="21">
        <f>EXP(-LN(2)/25)*GM84+(1-EXP(-LN(2)/25))/(LN(2)/25)*Calculateur!GH85*Calculateur!GJ85*VLOOKUP('Données projet'!$B$17,Paramètres!$A$1:$I$89,3,0)*0.475*44/12</f>
        <v>2.0471715880761114</v>
      </c>
      <c r="GN85" s="21">
        <f>EXP(-LN(2)/2)*GN84+(1-EXP(-LN(2)/2))/(LN(2)/2)*GH85*GK85*VLOOKUP('Données projet'!$B$17,Paramètres!$A$1:$I$89,3,0)*0.475*44/12</f>
        <v>6.0282984535052481E-8</v>
      </c>
      <c r="GO85" s="21">
        <f t="shared" si="81"/>
        <v>2.8371209069807986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2.8421709430404007E-14</v>
      </c>
      <c r="GV85" s="17">
        <f>GU85*VLOOKUP('Données projet'!$B$18,Paramètres!$A$1:$I$89,3,0)*VLOOKUP('Données projet'!$B$18,Paramètres!$A$1:$I$89,5,0)</f>
        <v>1.3567387213697657E-14</v>
      </c>
      <c r="GW85" s="13">
        <f t="shared" si="105"/>
        <v>2.5717320947985821E-13</v>
      </c>
      <c r="GX85" s="20">
        <f t="shared" si="82"/>
        <v>4.7153987257460977E-13</v>
      </c>
      <c r="GY85" s="59">
        <f t="shared" si="83"/>
        <v>293.33333333333377</v>
      </c>
      <c r="GZ85" s="59">
        <f ca="1">AVERAGE(OFFSET($GY$3,0,0,'Données projet'!$E$18+1,1))-AVERAGE(OFFSET($H$3,0,0,'Données projet'!$E$18+1,1))</f>
        <v>43.147469606759159</v>
      </c>
      <c r="HA85" s="59">
        <f t="shared" si="106"/>
        <v>147.46995307968473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12.876737885490712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8.2132139390139198E-9</v>
      </c>
      <c r="HJ85" s="22">
        <f t="shared" si="84"/>
        <v>12.876737893703925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4.3</v>
      </c>
      <c r="N86" s="13">
        <f>IF('Données projet'!$A$36&gt;35,N85+M86-V85,IF(A86&lt;'Données projet'!$A$36,$K$205^A86,IF(A86='Données projet'!$A$36,'Données projet'!$B$36,N85+M86-V85)))</f>
        <v>190.9</v>
      </c>
      <c r="O86" s="13">
        <f>N86*VLOOKUP('Données projet'!$B$9,Paramètres!$A$1:$I$89,3,0)*VLOOKUP('Données projet'!$B$9,Paramètres!$A$1:$I$89,5,0)</f>
        <v>172.72631999999999</v>
      </c>
      <c r="P86" s="13">
        <f t="shared" si="87"/>
        <v>43.700062028669137</v>
      </c>
      <c r="Q86" s="20">
        <f t="shared" si="54"/>
        <v>376.94261536659877</v>
      </c>
      <c r="R86" s="59">
        <f t="shared" si="55"/>
        <v>670.27594869993209</v>
      </c>
      <c r="S86" s="59">
        <f ca="1">AVERAGE(OFFSET($R$3,0,0,'Données projet'!$E$9+1,1))-AVERAGE(OFFSET($H$3,0,0,'Données projet'!$E$9+1,1))</f>
        <v>138.8931001150624</v>
      </c>
      <c r="T86" s="59">
        <f t="shared" si="88"/>
        <v>48.964659354096625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2.5</v>
      </c>
      <c r="AI86" s="13">
        <f>IF('Données projet'!$A$62&gt;35,AI85+AH86-AQ85,IF(A86&lt;'Données projet'!$A$62,$AF$205^A86,IF(A86='Données projet'!$A$62,'Données projet'!$B$62,AI85+AH86-AQ85)))</f>
        <v>207.49999999999991</v>
      </c>
      <c r="AJ86" s="13">
        <f>AI86*VLOOKUP('Données projet'!$B$10,Paramètres!$A$1:$I$89,3,0)*VLOOKUP('Données projet'!$B$10,Paramètres!$A$1:$I$89,5,0)</f>
        <v>181.27199999999993</v>
      </c>
      <c r="AK86" s="13">
        <f t="shared" si="89"/>
        <v>45.605066645465861</v>
      </c>
      <c r="AL86" s="20">
        <f t="shared" si="58"/>
        <v>395.14422440751952</v>
      </c>
      <c r="AM86" s="59">
        <f t="shared" si="59"/>
        <v>688.47755774085283</v>
      </c>
      <c r="AN86" s="59">
        <f ca="1">AVERAGE(OFFSET($AM$3,0,0,'Données projet'!$E$10+1,1))-AVERAGE(OFFSET($H$3,0,0,'Données projet'!$E$10+1,1))</f>
        <v>191.94797389630673</v>
      </c>
      <c r="AO86" s="59">
        <f t="shared" si="90"/>
        <v>273.52540822767878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3.2317337772063142</v>
      </c>
      <c r="AW86" s="21">
        <f>EXP(-LN(2)/2)*AW85+(1-EXP(-LN(2)/2))/(LN(2)/2)*AQ86*AT86*VLOOKUP('Données projet'!$B$10,Paramètres!$A$1:$I$89,3,0)*0.475*44/12</f>
        <v>2.4448399446601192E-7</v>
      </c>
      <c r="AX86" s="21">
        <f t="shared" si="60"/>
        <v>4.1330445804755076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3.5470293369144201E-14</v>
      </c>
      <c r="BF86" s="13">
        <f t="shared" si="91"/>
        <v>6.0119115841663204E-13</v>
      </c>
      <c r="BG86" s="20">
        <f t="shared" si="61"/>
        <v>1.1088520285268936E-12</v>
      </c>
      <c r="BH86" s="59">
        <f t="shared" si="62"/>
        <v>293.33333333333445</v>
      </c>
      <c r="BI86" s="59">
        <f ca="1">AVERAGE(OFFSET($BH$3,0,0,'Données projet'!$E$11+1,1))-AVERAGE(OFFSET($H$3,0,0,'Données projet'!$E$11+1,1))</f>
        <v>162.91481796710048</v>
      </c>
      <c r="BJ86" s="59">
        <f t="shared" si="92"/>
        <v>182.56192390367823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0.97365881819256173</v>
      </c>
      <c r="BQ86" s="21">
        <f>EXP(-LN(2)/25)*BQ85+(1-EXP(-LN(2)/25))/(LN(2)/25)*Calculateur!BL86*Calculateur!BN86*VLOOKUP('Données projet'!$B$11,Paramètres!$A$1:$I$89,3,0)*0.475*44/12</f>
        <v>3.5147942493567839</v>
      </c>
      <c r="BR86" s="21">
        <f>EXP(-LN(2)/2)*BR85+(1-EXP(-LN(2)/2))/(LN(2)/2)*BL86*BO86*VLOOKUP('Données projet'!$B$11,Paramètres!$A$1:$I$89,3,0)*0.475*44/12</f>
        <v>1.8934171824653051E-7</v>
      </c>
      <c r="BS86" s="22">
        <f t="shared" si="63"/>
        <v>4.4884532568910638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8.3000000000000007</v>
      </c>
      <c r="BY86" s="12">
        <f>IF('Données projet'!$A$114&gt;35,BY85+BX86-CG85,IF(A86&lt;'Données projet'!$A$114,$BV$205^A86,IF(A86='Données projet'!$A$114,'Données projet'!$B$114,BY85+BX86-CG85)))</f>
        <v>313.09999999999985</v>
      </c>
      <c r="BZ86" s="13">
        <f>BY86*VLOOKUP('Données projet'!$B$12,Paramètres!$A$1:$I$89,3,0)*VLOOKUP('Données projet'!$B$12,Paramètres!$A$1:$I$89,5,0)</f>
        <v>146.53079999999991</v>
      </c>
      <c r="CA86" s="13">
        <f t="shared" si="93"/>
        <v>37.789127015633198</v>
      </c>
      <c r="CB86" s="20">
        <f t="shared" si="64"/>
        <v>321.02387288556099</v>
      </c>
      <c r="CC86" s="59">
        <f t="shared" si="65"/>
        <v>614.35720621889436</v>
      </c>
      <c r="CD86" s="59">
        <f ca="1">AVERAGE(OFFSET($CC$3,0,0,'Données projet'!$E$12+1,1))-AVERAGE(OFFSET($H$3,0,0,'Données projet'!$E$12+1,1))</f>
        <v>123.60520571614535</v>
      </c>
      <c r="CE86" s="59">
        <f t="shared" si="94"/>
        <v>119.00926870519527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0.30361637701227906</v>
      </c>
      <c r="CL86" s="21">
        <f>EXP(-LN(2)/25)*CL85+(1-EXP(-LN(2)/25))/(LN(2)/25)*Calculateur!CG86*Calculateur!CI86*VLOOKUP('Données projet'!$B$12,Paramètres!$A$1:$I$89,3,0)*0.475*44/12</f>
        <v>1.0988784771600479</v>
      </c>
      <c r="CM86" s="21">
        <f>EXP(-LN(2)/2)*CM85+(1-EXP(-LN(2)/2))/(LN(2)/2)*CG86*CJ86*VLOOKUP('Données projet'!$B$12,Paramètres!$A$1:$I$89,3,0)*0.475*44/12</f>
        <v>6.4418407476779899E-8</v>
      </c>
      <c r="CN86" s="22">
        <f t="shared" si="66"/>
        <v>1.4024949185907345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190.9</v>
      </c>
      <c r="CU86" s="17">
        <f>CT86*VLOOKUP('Données projet'!$B$13,Paramètres!$A$1:$I$89,3,0)*VLOOKUP('Données projet'!$B$13,Paramètres!$A$1:$I$89,5,0)</f>
        <v>199.52868000000001</v>
      </c>
      <c r="CV86" s="13">
        <f t="shared" si="95"/>
        <v>49.640571635665864</v>
      </c>
      <c r="CW86" s="20">
        <f t="shared" si="67"/>
        <v>433.96977993211812</v>
      </c>
      <c r="CX86" s="59">
        <f t="shared" si="68"/>
        <v>727.30311326545143</v>
      </c>
      <c r="CY86" s="59">
        <f ca="1">AVERAGE(OFFSET($CX$3,0,0,'Données projet'!$E$13+1,1))-AVERAGE(OFFSET($H$3,0,0,'Données projet'!$E$13+1,1))</f>
        <v>177.94336949486529</v>
      </c>
      <c r="CZ86" s="59">
        <f t="shared" si="96"/>
        <v>65.559373432574603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3.3992364478763198E-14</v>
      </c>
      <c r="DQ86" s="13">
        <f t="shared" si="97"/>
        <v>5.790027782444094E-13</v>
      </c>
      <c r="DR86" s="20">
        <f t="shared" si="70"/>
        <v>1.0676332069095257E-12</v>
      </c>
      <c r="DS86" s="59">
        <f t="shared" si="71"/>
        <v>293.33333333333439</v>
      </c>
      <c r="DT86" s="59">
        <f ca="1">AVERAGE(OFFSET($DS$3,0,0,'Données projet'!$E$14+1,1))-AVERAGE(OFFSET($H$3,0,0,'Données projet'!$E$14+1,1))</f>
        <v>165.39579887388538</v>
      </c>
      <c r="DU86" s="59">
        <f t="shared" si="98"/>
        <v>155.89639262545802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1.6768683445132155</v>
      </c>
      <c r="EC86" s="21">
        <f>EXP(-LN(2)/2)*EC85+(1-EXP(-LN(2)/2))/(LN(2)/2)*DW86*DZ86*VLOOKUP('Données projet'!$B$14,Paramètres!$A$1:$I$89,3,0)*0.475*44/12</f>
        <v>1.46249940866182E-7</v>
      </c>
      <c r="ED86" s="22">
        <f t="shared" si="72"/>
        <v>1.6768684907631564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-1.1368683772161603E-12</v>
      </c>
      <c r="EK86" s="17">
        <f>EJ86*VLOOKUP('Données projet'!$B$15,Paramètres!$A$1:$I$89,3,0)*VLOOKUP('Données projet'!$B$15,Paramètres!$A$1:$I$89,5,0)</f>
        <v>-5.4683368944097316E-13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252.30925789500111</v>
      </c>
      <c r="EP86" s="59">
        <f t="shared" si="100"/>
        <v>213.96033794804805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1.6216780241994431</v>
      </c>
      <c r="EW86" s="21">
        <f>EXP(-LN(2)/25)*EW85+(1-EXP(-LN(2)/25))/(LN(2)/25)*Calculateur!ER86*Calculateur!ET86*VLOOKUP('Données projet'!$B$15,Paramètres!$A$1:$I$89,3,0)*0.475*44/12</f>
        <v>2.1229663000030174</v>
      </c>
      <c r="EX86" s="21">
        <f>EXP(-LN(2)/2)*EX85+(1-EXP(-LN(2)/2))/(LN(2)/2)*ER86*EU86*VLOOKUP('Données projet'!$B$15,Paramètres!$A$1:$I$89,3,0)*0.475*44/12</f>
        <v>1.5149198540624247E-7</v>
      </c>
      <c r="EY86" s="22">
        <f t="shared" si="75"/>
        <v>3.7446444756944461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-1.1368683772161603E-12</v>
      </c>
      <c r="FF86" s="17">
        <f>FE86*VLOOKUP('Données projet'!$B$16,Paramètres!$A$1:$I$89,3,0)*VLOOKUP('Données projet'!$B$16,Paramètres!$A$1:$I$89,5,0)</f>
        <v>-5.4683368944097316E-13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252.30925789500111</v>
      </c>
      <c r="FK86" s="59">
        <f t="shared" si="102"/>
        <v>213.96033794804805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1.6216780241994431</v>
      </c>
      <c r="FR86" s="21">
        <f>EXP(-LN(2)/25)*FR85+(1-EXP(-LN(2)/25))/(LN(2)/25)*Calculateur!FM86*Calculateur!FO86*VLOOKUP('Données projet'!$B$16,Paramètres!$A$1:$I$89,3,0)*0.475*44/12</f>
        <v>2.1229663000030174</v>
      </c>
      <c r="FS86" s="21">
        <f>EXP(-LN(2)/2)*FS85+(1-EXP(-LN(2)/2))/(LN(2)/2)*FM86*FP86*VLOOKUP('Données projet'!$B$16,Paramètres!$A$1:$I$89,3,0)*0.475*44/12</f>
        <v>1.5149198540624247E-7</v>
      </c>
      <c r="FT86" s="22">
        <f t="shared" si="78"/>
        <v>3.7446444756944461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117.54638373164624</v>
      </c>
      <c r="GF86" s="59">
        <f t="shared" si="104"/>
        <v>133.0740262536583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0.7744588354816031</v>
      </c>
      <c r="GM86" s="21">
        <f>EXP(-LN(2)/25)*GM85+(1-EXP(-LN(2)/25))/(LN(2)/25)*Calculateur!GH86*Calculateur!GJ86*VLOOKUP('Données projet'!$B$17,Paramètres!$A$1:$I$89,3,0)*0.475*44/12</f>
        <v>1.9911915733440952</v>
      </c>
      <c r="GN86" s="21">
        <f>EXP(-LN(2)/2)*GN85+(1-EXP(-LN(2)/2))/(LN(2)/2)*GH86*GK86*VLOOKUP('Données projet'!$B$17,Paramètres!$A$1:$I$89,3,0)*0.475*44/12</f>
        <v>4.2626507154899384E-8</v>
      </c>
      <c r="GO86" s="21">
        <f t="shared" si="81"/>
        <v>2.7656504514522058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2.8421709430404007E-14</v>
      </c>
      <c r="GV86" s="17">
        <f>GU86*VLOOKUP('Données projet'!$B$18,Paramètres!$A$1:$I$89,3,0)*VLOOKUP('Données projet'!$B$18,Paramètres!$A$1:$I$89,5,0)</f>
        <v>1.3567387213697657E-14</v>
      </c>
      <c r="GW86" s="13">
        <f t="shared" si="105"/>
        <v>2.5717320947985821E-13</v>
      </c>
      <c r="GX86" s="20">
        <f t="shared" si="82"/>
        <v>4.7153987257460977E-13</v>
      </c>
      <c r="GY86" s="59">
        <f t="shared" si="83"/>
        <v>293.33333333333377</v>
      </c>
      <c r="GZ86" s="59">
        <f ca="1">AVERAGE(OFFSET($GY$3,0,0,'Données projet'!$E$18+1,1))-AVERAGE(OFFSET($H$3,0,0,'Données projet'!$E$18+1,1))</f>
        <v>43.147469606759159</v>
      </c>
      <c r="HA86" s="59">
        <f t="shared" si="106"/>
        <v>147.46995307968473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12.624232909590829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5.8076192716126181E-9</v>
      </c>
      <c r="HJ86" s="22">
        <f t="shared" si="84"/>
        <v>12.624232915398448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4.3</v>
      </c>
      <c r="N87" s="13">
        <f>IF('Données projet'!$A$36&gt;35,N86+M87-V86,IF(A87&lt;'Données projet'!$A$36,$K$205^A87,IF(A87='Données projet'!$A$36,'Données projet'!$B$36,N86+M87-V86)))</f>
        <v>195.20000000000002</v>
      </c>
      <c r="O87" s="13">
        <f>N87*VLOOKUP('Données projet'!$B$9,Paramètres!$A$1:$I$89,3,0)*VLOOKUP('Données projet'!$B$9,Paramètres!$A$1:$I$89,5,0)</f>
        <v>176.61696000000001</v>
      </c>
      <c r="P87" s="13">
        <f t="shared" si="87"/>
        <v>44.56869297787356</v>
      </c>
      <c r="Q87" s="20">
        <f t="shared" si="54"/>
        <v>385.23167893646314</v>
      </c>
      <c r="R87" s="59">
        <f t="shared" si="55"/>
        <v>678.5650122697964</v>
      </c>
      <c r="S87" s="59">
        <f ca="1">AVERAGE(OFFSET($R$3,0,0,'Données projet'!$E$9+1,1))-AVERAGE(OFFSET($H$3,0,0,'Données projet'!$E$9+1,1))</f>
        <v>138.8931001150624</v>
      </c>
      <c r="T87" s="59">
        <f t="shared" si="88"/>
        <v>48.964659354096625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2.5</v>
      </c>
      <c r="AI87" s="13">
        <f>IF('Données projet'!$A$62&gt;35,AI86+AH87-AQ86,IF(A87&lt;'Données projet'!$A$62,$AF$205^A87,IF(A87='Données projet'!$A$62,'Données projet'!$B$62,AI86+AH87-AQ86)))</f>
        <v>209.99999999999991</v>
      </c>
      <c r="AJ87" s="13">
        <f>AI87*VLOOKUP('Données projet'!$B$10,Paramètres!$A$1:$I$89,3,0)*VLOOKUP('Données projet'!$B$10,Paramètres!$A$1:$I$89,5,0)</f>
        <v>183.45599999999996</v>
      </c>
      <c r="AK87" s="13">
        <f t="shared" si="89"/>
        <v>46.090229375321108</v>
      </c>
      <c r="AL87" s="20">
        <f t="shared" si="58"/>
        <v>399.79301616201752</v>
      </c>
      <c r="AM87" s="59">
        <f t="shared" si="59"/>
        <v>693.12634949535084</v>
      </c>
      <c r="AN87" s="59">
        <f ca="1">AVERAGE(OFFSET($AM$3,0,0,'Données projet'!$E$10+1,1))-AVERAGE(OFFSET($H$3,0,0,'Données projet'!$E$10+1,1))</f>
        <v>191.94797389630673</v>
      </c>
      <c r="AO87" s="59">
        <f t="shared" si="90"/>
        <v>273.52540822767878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3.1433618471191145</v>
      </c>
      <c r="AW87" s="21">
        <f>EXP(-LN(2)/2)*AW86+(1-EXP(-LN(2)/2))/(LN(2)/2)*AQ87*AT87*VLOOKUP('Données projet'!$B$10,Paramètres!$A$1:$I$89,3,0)*0.475*44/12</f>
        <v>1.7287629037849139E-7</v>
      </c>
      <c r="AX87" s="21">
        <f t="shared" si="60"/>
        <v>4.0269984284679836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3.5470293369144201E-14</v>
      </c>
      <c r="BF87" s="13">
        <f t="shared" si="91"/>
        <v>6.0119115841663204E-13</v>
      </c>
      <c r="BG87" s="20">
        <f t="shared" si="61"/>
        <v>1.1088520285268936E-12</v>
      </c>
      <c r="BH87" s="59">
        <f t="shared" si="62"/>
        <v>293.33333333333445</v>
      </c>
      <c r="BI87" s="59">
        <f ca="1">AVERAGE(OFFSET($BH$3,0,0,'Données projet'!$E$11+1,1))-AVERAGE(OFFSET($H$3,0,0,'Données projet'!$E$11+1,1))</f>
        <v>162.91481796710048</v>
      </c>
      <c r="BJ87" s="59">
        <f t="shared" si="92"/>
        <v>182.56192390367823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0.95456596264104454</v>
      </c>
      <c r="BQ87" s="21">
        <f>EXP(-LN(2)/25)*BQ86+(1-EXP(-LN(2)/25))/(LN(2)/25)*Calculateur!BL87*Calculateur!BN87*VLOOKUP('Données projet'!$B$11,Paramètres!$A$1:$I$89,3,0)*0.475*44/12</f>
        <v>3.4186820157731264</v>
      </c>
      <c r="BR87" s="21">
        <f>EXP(-LN(2)/2)*BR86+(1-EXP(-LN(2)/2))/(LN(2)/2)*BL87*BO87*VLOOKUP('Données projet'!$B$11,Paramètres!$A$1:$I$89,3,0)*0.475*44/12</f>
        <v>1.3388481293363438E-7</v>
      </c>
      <c r="BS87" s="22">
        <f t="shared" si="63"/>
        <v>4.3732481122989837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8.3000000000000007</v>
      </c>
      <c r="BY87" s="12">
        <f>IF('Données projet'!$A$114&gt;35,BY86+BX87-CG86,IF(A87&lt;'Données projet'!$A$114,$BV$205^A87,IF(A87='Données projet'!$A$114,'Données projet'!$B$114,BY86+BX87-CG86)))</f>
        <v>321.39999999999986</v>
      </c>
      <c r="BZ87" s="13">
        <f>BY87*VLOOKUP('Données projet'!$B$12,Paramètres!$A$1:$I$89,3,0)*VLOOKUP('Données projet'!$B$12,Paramètres!$A$1:$I$89,5,0)</f>
        <v>150.41519999999994</v>
      </c>
      <c r="CA87" s="13">
        <f t="shared" si="93"/>
        <v>38.672926125901775</v>
      </c>
      <c r="CB87" s="20">
        <f t="shared" si="64"/>
        <v>329.32848633594546</v>
      </c>
      <c r="CC87" s="59">
        <f t="shared" si="65"/>
        <v>622.66181966927877</v>
      </c>
      <c r="CD87" s="59">
        <f ca="1">AVERAGE(OFFSET($CC$3,0,0,'Données projet'!$E$12+1,1))-AVERAGE(OFFSET($H$3,0,0,'Données projet'!$E$12+1,1))</f>
        <v>123.60520571614535</v>
      </c>
      <c r="CE87" s="59">
        <f t="shared" si="94"/>
        <v>119.00926870519527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0.29766264504677248</v>
      </c>
      <c r="CL87" s="21">
        <f>EXP(-LN(2)/25)*CL86+(1-EXP(-LN(2)/25))/(LN(2)/25)*Calculateur!CG87*Calculateur!CI87*VLOOKUP('Données projet'!$B$12,Paramètres!$A$1:$I$89,3,0)*0.475*44/12</f>
        <v>1.0688295874145988</v>
      </c>
      <c r="CM87" s="21">
        <f>EXP(-LN(2)/2)*CM86+(1-EXP(-LN(2)/2))/(LN(2)/2)*CG87*CJ87*VLOOKUP('Données projet'!$B$12,Paramètres!$A$1:$I$89,3,0)*0.475*44/12</f>
        <v>4.5550692760069262E-8</v>
      </c>
      <c r="CN87" s="22">
        <f t="shared" si="66"/>
        <v>1.3664922780120641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195.20000000000002</v>
      </c>
      <c r="CU87" s="17">
        <f>CT87*VLOOKUP('Données projet'!$B$13,Paramètres!$A$1:$I$89,3,0)*VLOOKUP('Données projet'!$B$13,Paramètres!$A$1:$I$89,5,0)</f>
        <v>204.02304000000004</v>
      </c>
      <c r="CV87" s="13">
        <f t="shared" si="95"/>
        <v>50.627282749042514</v>
      </c>
      <c r="CW87" s="20">
        <f t="shared" si="67"/>
        <v>443.5159787879158</v>
      </c>
      <c r="CX87" s="59">
        <f t="shared" si="68"/>
        <v>736.84931212124911</v>
      </c>
      <c r="CY87" s="59">
        <f ca="1">AVERAGE(OFFSET($CX$3,0,0,'Données projet'!$E$13+1,1))-AVERAGE(OFFSET($H$3,0,0,'Données projet'!$E$13+1,1))</f>
        <v>177.94336949486529</v>
      </c>
      <c r="CZ87" s="59">
        <f t="shared" si="96"/>
        <v>65.559373432574603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3.3992364478763198E-14</v>
      </c>
      <c r="DQ87" s="13">
        <f t="shared" si="97"/>
        <v>5.790027782444094E-13</v>
      </c>
      <c r="DR87" s="20">
        <f t="shared" si="70"/>
        <v>1.0676332069095257E-12</v>
      </c>
      <c r="DS87" s="59">
        <f t="shared" si="71"/>
        <v>293.33333333333439</v>
      </c>
      <c r="DT87" s="59">
        <f ca="1">AVERAGE(OFFSET($DS$3,0,0,'Données projet'!$E$14+1,1))-AVERAGE(OFFSET($H$3,0,0,'Données projet'!$E$14+1,1))</f>
        <v>165.39579887388538</v>
      </c>
      <c r="DU87" s="59">
        <f t="shared" si="98"/>
        <v>155.89639262545802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1.631014291449828</v>
      </c>
      <c r="EC87" s="21">
        <f>EXP(-LN(2)/2)*EC86+(1-EXP(-LN(2)/2))/(LN(2)/2)*DW87*DZ87*VLOOKUP('Données projet'!$B$14,Paramètres!$A$1:$I$89,3,0)*0.475*44/12</f>
        <v>1.0341432493460887E-7</v>
      </c>
      <c r="ED87" s="22">
        <f t="shared" si="72"/>
        <v>1.6310143948641529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-1.1368683772161603E-12</v>
      </c>
      <c r="EK87" s="17">
        <f>EJ87*VLOOKUP('Données projet'!$B$15,Paramètres!$A$1:$I$89,3,0)*VLOOKUP('Données projet'!$B$15,Paramètres!$A$1:$I$89,5,0)</f>
        <v>-5.4683368944097316E-13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252.30925789500111</v>
      </c>
      <c r="EP87" s="59">
        <f t="shared" si="100"/>
        <v>213.96033794804805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1.5898779072708187</v>
      </c>
      <c r="EW87" s="21">
        <f>EXP(-LN(2)/25)*EW86+(1-EXP(-LN(2)/25))/(LN(2)/25)*Calculateur!ER87*Calculateur!ET87*VLOOKUP('Données projet'!$B$15,Paramètres!$A$1:$I$89,3,0)*0.475*44/12</f>
        <v>2.0649136748874892</v>
      </c>
      <c r="EX87" s="21">
        <f>EXP(-LN(2)/2)*EX86+(1-EXP(-LN(2)/2))/(LN(2)/2)*ER87*EU87*VLOOKUP('Données projet'!$B$15,Paramètres!$A$1:$I$89,3,0)*0.475*44/12</f>
        <v>1.0712101017616755E-7</v>
      </c>
      <c r="EY87" s="22">
        <f t="shared" si="75"/>
        <v>3.654791689279318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-1.1368683772161603E-12</v>
      </c>
      <c r="FF87" s="17">
        <f>FE87*VLOOKUP('Données projet'!$B$16,Paramètres!$A$1:$I$89,3,0)*VLOOKUP('Données projet'!$B$16,Paramètres!$A$1:$I$89,5,0)</f>
        <v>-5.4683368944097316E-13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252.30925789500111</v>
      </c>
      <c r="FK87" s="59">
        <f t="shared" si="102"/>
        <v>213.96033794804805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1.5898779072708187</v>
      </c>
      <c r="FR87" s="21">
        <f>EXP(-LN(2)/25)*FR86+(1-EXP(-LN(2)/25))/(LN(2)/25)*Calculateur!FM87*Calculateur!FO87*VLOOKUP('Données projet'!$B$16,Paramètres!$A$1:$I$89,3,0)*0.475*44/12</f>
        <v>2.0649136748874892</v>
      </c>
      <c r="FS87" s="21">
        <f>EXP(-LN(2)/2)*FS86+(1-EXP(-LN(2)/2))/(LN(2)/2)*FM87*FP87*VLOOKUP('Données projet'!$B$16,Paramètres!$A$1:$I$89,3,0)*0.475*44/12</f>
        <v>1.0712101017616755E-7</v>
      </c>
      <c r="FT87" s="22">
        <f t="shared" si="78"/>
        <v>3.654791689279318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117.54638373164624</v>
      </c>
      <c r="GF87" s="59">
        <f t="shared" si="104"/>
        <v>133.0740262536583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0.75927217009105552</v>
      </c>
      <c r="GM87" s="21">
        <f>EXP(-LN(2)/25)*GM86+(1-EXP(-LN(2)/25))/(LN(2)/25)*Calculateur!GH87*Calculateur!GJ87*VLOOKUP('Données projet'!$B$17,Paramètres!$A$1:$I$89,3,0)*0.475*44/12</f>
        <v>1.9367423350587871</v>
      </c>
      <c r="GN87" s="21">
        <f>EXP(-LN(2)/2)*GN86+(1-EXP(-LN(2)/2))/(LN(2)/2)*GH87*GK87*VLOOKUP('Données projet'!$B$17,Paramètres!$A$1:$I$89,3,0)*0.475*44/12</f>
        <v>3.0141492267526241E-8</v>
      </c>
      <c r="GO87" s="21">
        <f t="shared" si="81"/>
        <v>2.6960145352913352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2.8421709430404007E-14</v>
      </c>
      <c r="GV87" s="17">
        <f>GU87*VLOOKUP('Données projet'!$B$18,Paramètres!$A$1:$I$89,3,0)*VLOOKUP('Données projet'!$B$18,Paramètres!$A$1:$I$89,5,0)</f>
        <v>1.3567387213697657E-14</v>
      </c>
      <c r="GW87" s="13">
        <f t="shared" si="105"/>
        <v>2.5717320947985821E-13</v>
      </c>
      <c r="GX87" s="20">
        <f t="shared" si="82"/>
        <v>4.7153987257460977E-13</v>
      </c>
      <c r="GY87" s="59">
        <f t="shared" si="83"/>
        <v>293.33333333333377</v>
      </c>
      <c r="GZ87" s="59">
        <f ca="1">AVERAGE(OFFSET($GY$3,0,0,'Données projet'!$E$18+1,1))-AVERAGE(OFFSET($H$3,0,0,'Données projet'!$E$18+1,1))</f>
        <v>43.147469606759159</v>
      </c>
      <c r="HA87" s="59">
        <f t="shared" si="106"/>
        <v>147.46995307968473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12.376679402255514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4.1066069695069599E-9</v>
      </c>
      <c r="HJ87" s="22">
        <f t="shared" si="84"/>
        <v>12.37667940636212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4.3</v>
      </c>
      <c r="N88" s="13">
        <f>IF('Données projet'!$A$36&gt;35,N87+M88-V87,IF(A88&lt;'Données projet'!$A$36,$K$205^A88,IF(A88='Données projet'!$A$36,'Données projet'!$B$36,N87+M88-V87)))</f>
        <v>199.50000000000003</v>
      </c>
      <c r="O88" s="13">
        <f>N88*VLOOKUP('Données projet'!$B$9,Paramètres!$A$1:$I$89,3,0)*VLOOKUP('Données projet'!$B$9,Paramètres!$A$1:$I$89,5,0)</f>
        <v>180.50760000000002</v>
      </c>
      <c r="P88" s="13">
        <f t="shared" si="87"/>
        <v>45.435099299216873</v>
      </c>
      <c r="Q88" s="20">
        <f t="shared" si="54"/>
        <v>393.51686794613602</v>
      </c>
      <c r="R88" s="59">
        <f t="shared" si="55"/>
        <v>686.85020127946927</v>
      </c>
      <c r="S88" s="59">
        <f ca="1">AVERAGE(OFFSET($R$3,0,0,'Données projet'!$E$9+1,1))-AVERAGE(OFFSET($H$3,0,0,'Données projet'!$E$9+1,1))</f>
        <v>138.8931001150624</v>
      </c>
      <c r="T88" s="59">
        <f t="shared" si="88"/>
        <v>48.964659354096625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2.5</v>
      </c>
      <c r="AI88" s="13">
        <f>IF('Données projet'!$A$62&gt;35,AI87+AH88-AQ87,IF(A88&lt;'Données projet'!$A$62,$AF$205^A88,IF(A88='Données projet'!$A$62,'Données projet'!$B$62,AI87+AH88-AQ87)))</f>
        <v>212.49999999999991</v>
      </c>
      <c r="AJ88" s="13">
        <f>AI88*VLOOKUP('Données projet'!$B$10,Paramètres!$A$1:$I$89,3,0)*VLOOKUP('Données projet'!$B$10,Paramètres!$A$1:$I$89,5,0)</f>
        <v>185.63999999999993</v>
      </c>
      <c r="AK88" s="13">
        <f t="shared" si="89"/>
        <v>46.57472025705939</v>
      </c>
      <c r="AL88" s="20">
        <f t="shared" si="58"/>
        <v>404.44063778104493</v>
      </c>
      <c r="AM88" s="59">
        <f t="shared" si="59"/>
        <v>697.77397111437824</v>
      </c>
      <c r="AN88" s="59">
        <f ca="1">AVERAGE(OFFSET($AM$3,0,0,'Données projet'!$E$10+1,1))-AVERAGE(OFFSET($H$3,0,0,'Données projet'!$E$10+1,1))</f>
        <v>191.94797389630673</v>
      </c>
      <c r="AO88" s="59">
        <f t="shared" si="90"/>
        <v>273.52540822767878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3.0574064521074269</v>
      </c>
      <c r="AW88" s="21">
        <f>EXP(-LN(2)/2)*AW87+(1-EXP(-LN(2)/2))/(LN(2)/2)*AQ88*AT88*VLOOKUP('Données projet'!$B$10,Paramètres!$A$1:$I$89,3,0)*0.475*44/12</f>
        <v>1.2224199723300596E-7</v>
      </c>
      <c r="AX88" s="21">
        <f t="shared" si="60"/>
        <v>3.9237154118168465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3.5470293369144201E-14</v>
      </c>
      <c r="BF88" s="13">
        <f t="shared" si="91"/>
        <v>6.0119115841663204E-13</v>
      </c>
      <c r="BG88" s="20">
        <f t="shared" si="61"/>
        <v>1.1088520285268936E-12</v>
      </c>
      <c r="BH88" s="59">
        <f t="shared" si="62"/>
        <v>293.33333333333445</v>
      </c>
      <c r="BI88" s="59">
        <f ca="1">AVERAGE(OFFSET($BH$3,0,0,'Données projet'!$E$11+1,1))-AVERAGE(OFFSET($H$3,0,0,'Données projet'!$E$11+1,1))</f>
        <v>162.91481796710048</v>
      </c>
      <c r="BJ88" s="59">
        <f t="shared" si="92"/>
        <v>182.56192390367823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0.93584750634140068</v>
      </c>
      <c r="BQ88" s="21">
        <f>EXP(-LN(2)/25)*BQ87+(1-EXP(-LN(2)/25))/(LN(2)/25)*Calculateur!BL88*Calculateur!BN88*VLOOKUP('Données projet'!$B$11,Paramètres!$A$1:$I$89,3,0)*0.475*44/12</f>
        <v>3.3251979762711366</v>
      </c>
      <c r="BR88" s="21">
        <f>EXP(-LN(2)/2)*BR87+(1-EXP(-LN(2)/2))/(LN(2)/2)*BL88*BO88*VLOOKUP('Données projet'!$B$11,Paramètres!$A$1:$I$89,3,0)*0.475*44/12</f>
        <v>9.4670859123265256E-8</v>
      </c>
      <c r="BS88" s="22">
        <f t="shared" si="63"/>
        <v>4.2610455772833964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8.3000000000000007</v>
      </c>
      <c r="BY88" s="12">
        <f>IF('Données projet'!$A$114&gt;35,BY87+BX88-CG87,IF(A88&lt;'Données projet'!$A$114,$BV$205^A88,IF(A88='Données projet'!$A$114,'Données projet'!$B$114,BY87+BX88-CG87)))</f>
        <v>329.69999999999987</v>
      </c>
      <c r="BZ88" s="13">
        <f>BY88*VLOOKUP('Données projet'!$B$12,Paramètres!$A$1:$I$89,3,0)*VLOOKUP('Données projet'!$B$12,Paramètres!$A$1:$I$89,5,0)</f>
        <v>154.29959999999994</v>
      </c>
      <c r="CA88" s="13">
        <f t="shared" si="93"/>
        <v>39.55407223646921</v>
      </c>
      <c r="CB88" s="20">
        <f t="shared" si="64"/>
        <v>337.62847914518375</v>
      </c>
      <c r="CC88" s="59">
        <f t="shared" si="65"/>
        <v>630.961812478517</v>
      </c>
      <c r="CD88" s="59">
        <f ca="1">AVERAGE(OFFSET($CC$3,0,0,'Données projet'!$E$12+1,1))-AVERAGE(OFFSET($H$3,0,0,'Données projet'!$E$12+1,1))</f>
        <v>123.60520571614535</v>
      </c>
      <c r="CE88" s="59">
        <f t="shared" si="94"/>
        <v>119.00926870519527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0.29182566213369154</v>
      </c>
      <c r="CL88" s="21">
        <f>EXP(-LN(2)/25)*CL87+(1-EXP(-LN(2)/25))/(LN(2)/25)*Calculateur!CG88*Calculateur!CI88*VLOOKUP('Données projet'!$B$12,Paramètres!$A$1:$I$89,3,0)*0.475*44/12</f>
        <v>1.0396023861394414</v>
      </c>
      <c r="CM88" s="21">
        <f>EXP(-LN(2)/2)*CM87+(1-EXP(-LN(2)/2))/(LN(2)/2)*CG88*CJ88*VLOOKUP('Données projet'!$B$12,Paramètres!$A$1:$I$89,3,0)*0.475*44/12</f>
        <v>3.220920373838995E-8</v>
      </c>
      <c r="CN88" s="22">
        <f t="shared" si="66"/>
        <v>1.3314280804823366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199.50000000000003</v>
      </c>
      <c r="CU88" s="17">
        <f>CT88*VLOOKUP('Données projet'!$B$13,Paramètres!$A$1:$I$89,3,0)*VLOOKUP('Données projet'!$B$13,Paramètres!$A$1:$I$89,5,0)</f>
        <v>208.51740000000004</v>
      </c>
      <c r="CV88" s="13">
        <f t="shared" si="95"/>
        <v>51.611466822557574</v>
      </c>
      <c r="CW88" s="20">
        <f t="shared" si="67"/>
        <v>453.05777638262111</v>
      </c>
      <c r="CX88" s="59">
        <f t="shared" si="68"/>
        <v>746.39110971595437</v>
      </c>
      <c r="CY88" s="59">
        <f ca="1">AVERAGE(OFFSET($CX$3,0,0,'Données projet'!$E$13+1,1))-AVERAGE(OFFSET($H$3,0,0,'Données projet'!$E$13+1,1))</f>
        <v>177.94336949486529</v>
      </c>
      <c r="CZ88" s="59">
        <f t="shared" si="96"/>
        <v>65.559373432574603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3.3992364478763198E-14</v>
      </c>
      <c r="DQ88" s="13">
        <f t="shared" si="97"/>
        <v>5.790027782444094E-13</v>
      </c>
      <c r="DR88" s="20">
        <f t="shared" si="70"/>
        <v>1.0676332069095257E-12</v>
      </c>
      <c r="DS88" s="59">
        <f t="shared" si="71"/>
        <v>293.33333333333439</v>
      </c>
      <c r="DT88" s="59">
        <f ca="1">AVERAGE(OFFSET($DS$3,0,0,'Données projet'!$E$14+1,1))-AVERAGE(OFFSET($H$3,0,0,'Données projet'!$E$14+1,1))</f>
        <v>165.39579887388538</v>
      </c>
      <c r="DU88" s="59">
        <f t="shared" si="98"/>
        <v>155.89639262545802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1.5864141198788186</v>
      </c>
      <c r="EC88" s="21">
        <f>EXP(-LN(2)/2)*EC87+(1-EXP(-LN(2)/2))/(LN(2)/2)*DW88*DZ88*VLOOKUP('Données projet'!$B$14,Paramètres!$A$1:$I$89,3,0)*0.475*44/12</f>
        <v>7.3124970433091002E-8</v>
      </c>
      <c r="ED88" s="22">
        <f t="shared" si="72"/>
        <v>1.5864141930037892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-1.1368683772161603E-12</v>
      </c>
      <c r="EK88" s="17">
        <f>EJ88*VLOOKUP('Données projet'!$B$15,Paramètres!$A$1:$I$89,3,0)*VLOOKUP('Données projet'!$B$15,Paramètres!$A$1:$I$89,5,0)</f>
        <v>-5.4683368944097316E-13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252.30925789500111</v>
      </c>
      <c r="EP88" s="59">
        <f t="shared" si="100"/>
        <v>213.96033794804805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1.5587013712390085</v>
      </c>
      <c r="EW88" s="21">
        <f>EXP(-LN(2)/25)*EW87+(1-EXP(-LN(2)/25))/(LN(2)/25)*Calculateur!ER88*Calculateur!ET88*VLOOKUP('Données projet'!$B$15,Paramètres!$A$1:$I$89,3,0)*0.475*44/12</f>
        <v>2.0084485018586</v>
      </c>
      <c r="EX88" s="21">
        <f>EXP(-LN(2)/2)*EX87+(1-EXP(-LN(2)/2))/(LN(2)/2)*ER88*EU88*VLOOKUP('Données projet'!$B$15,Paramètres!$A$1:$I$89,3,0)*0.475*44/12</f>
        <v>7.5745992703121235E-8</v>
      </c>
      <c r="EY88" s="22">
        <f t="shared" si="75"/>
        <v>3.5671499488436011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-1.1368683772161603E-12</v>
      </c>
      <c r="FF88" s="17">
        <f>FE88*VLOOKUP('Données projet'!$B$16,Paramètres!$A$1:$I$89,3,0)*VLOOKUP('Données projet'!$B$16,Paramètres!$A$1:$I$89,5,0)</f>
        <v>-5.4683368944097316E-13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252.30925789500111</v>
      </c>
      <c r="FK88" s="59">
        <f t="shared" si="102"/>
        <v>213.96033794804805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1.5587013712390085</v>
      </c>
      <c r="FR88" s="21">
        <f>EXP(-LN(2)/25)*FR87+(1-EXP(-LN(2)/25))/(LN(2)/25)*Calculateur!FM88*Calculateur!FO88*VLOOKUP('Données projet'!$B$16,Paramètres!$A$1:$I$89,3,0)*0.475*44/12</f>
        <v>2.0084485018586</v>
      </c>
      <c r="FS88" s="21">
        <f>EXP(-LN(2)/2)*FS87+(1-EXP(-LN(2)/2))/(LN(2)/2)*FM88*FP88*VLOOKUP('Données projet'!$B$16,Paramètres!$A$1:$I$89,3,0)*0.475*44/12</f>
        <v>7.5745992703121235E-8</v>
      </c>
      <c r="FT88" s="22">
        <f t="shared" si="78"/>
        <v>3.5671499488436011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117.54638373164624</v>
      </c>
      <c r="GF88" s="59">
        <f t="shared" si="104"/>
        <v>133.0740262536583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0.74438330594586533</v>
      </c>
      <c r="GM88" s="21">
        <f>EXP(-LN(2)/25)*GM87+(1-EXP(-LN(2)/25))/(LN(2)/25)*Calculateur!GH88*Calculateur!GJ88*VLOOKUP('Données projet'!$B$17,Paramètres!$A$1:$I$89,3,0)*0.475*44/12</f>
        <v>1.8837820140577517</v>
      </c>
      <c r="GN88" s="21">
        <f>EXP(-LN(2)/2)*GN87+(1-EXP(-LN(2)/2))/(LN(2)/2)*GH88*GK88*VLOOKUP('Données projet'!$B$17,Paramètres!$A$1:$I$89,3,0)*0.475*44/12</f>
        <v>2.1313253577449692E-8</v>
      </c>
      <c r="GO88" s="21">
        <f t="shared" si="81"/>
        <v>2.6281653413168704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2.8421709430404007E-14</v>
      </c>
      <c r="GV88" s="17">
        <f>GU88*VLOOKUP('Données projet'!$B$18,Paramètres!$A$1:$I$89,3,0)*VLOOKUP('Données projet'!$B$18,Paramètres!$A$1:$I$89,5,0)</f>
        <v>1.3567387213697657E-14</v>
      </c>
      <c r="GW88" s="13">
        <f t="shared" si="105"/>
        <v>2.5717320947985821E-13</v>
      </c>
      <c r="GX88" s="20">
        <f t="shared" si="82"/>
        <v>4.7153987257460977E-13</v>
      </c>
      <c r="GY88" s="59">
        <f t="shared" si="83"/>
        <v>293.33333333333377</v>
      </c>
      <c r="GZ88" s="59">
        <f ca="1">AVERAGE(OFFSET($GY$3,0,0,'Données projet'!$E$18+1,1))-AVERAGE(OFFSET($H$3,0,0,'Données projet'!$E$18+1,1))</f>
        <v>43.147469606759159</v>
      </c>
      <c r="HA88" s="59">
        <f t="shared" si="106"/>
        <v>147.46995307968473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12.133980268206313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2.903809635806309E-9</v>
      </c>
      <c r="HJ88" s="22">
        <f t="shared" si="84"/>
        <v>12.133980271110122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4.3</v>
      </c>
      <c r="N89" s="13">
        <f>IF('Données projet'!$A$36&gt;35,N88+M89-V88,IF(A89&lt;'Données projet'!$A$36,$K$205^A89,IF(A89='Données projet'!$A$36,'Données projet'!$B$36,N88+M89-V88)))</f>
        <v>203.80000000000004</v>
      </c>
      <c r="O89" s="13">
        <f>N89*VLOOKUP('Données projet'!$B$9,Paramètres!$A$1:$I$89,3,0)*VLOOKUP('Données projet'!$B$9,Paramètres!$A$1:$I$89,5,0)</f>
        <v>184.39824000000004</v>
      </c>
      <c r="P89" s="13">
        <f t="shared" si="87"/>
        <v>46.299334464645916</v>
      </c>
      <c r="Q89" s="20">
        <f t="shared" si="54"/>
        <v>401.79827552592502</v>
      </c>
      <c r="R89" s="59">
        <f t="shared" si="55"/>
        <v>695.13160885925834</v>
      </c>
      <c r="S89" s="59">
        <f ca="1">AVERAGE(OFFSET($R$3,0,0,'Données projet'!$E$9+1,1))-AVERAGE(OFFSET($H$3,0,0,'Données projet'!$E$9+1,1))</f>
        <v>138.8931001150624</v>
      </c>
      <c r="T89" s="59">
        <f t="shared" si="88"/>
        <v>48.964659354096625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2.5</v>
      </c>
      <c r="AI89" s="13">
        <f>IF('Données projet'!$A$62&gt;35,AI88+AH89-AQ88,IF(A89&lt;'Données projet'!$A$62,$AF$205^A89,IF(A89='Données projet'!$A$62,'Données projet'!$B$62,AI88+AH89-AQ88)))</f>
        <v>214.99999999999991</v>
      </c>
      <c r="AJ89" s="13">
        <f>AI89*VLOOKUP('Données projet'!$B$10,Paramètres!$A$1:$I$89,3,0)*VLOOKUP('Données projet'!$B$10,Paramètres!$A$1:$I$89,5,0)</f>
        <v>187.82399999999996</v>
      </c>
      <c r="AK89" s="13">
        <f t="shared" si="89"/>
        <v>47.05854810918273</v>
      </c>
      <c r="AL89" s="20">
        <f t="shared" si="58"/>
        <v>409.08710462349313</v>
      </c>
      <c r="AM89" s="59">
        <f t="shared" si="59"/>
        <v>702.42043795682639</v>
      </c>
      <c r="AN89" s="59">
        <f ca="1">AVERAGE(OFFSET($AM$3,0,0,'Données projet'!$E$10+1,1))-AVERAGE(OFFSET($H$3,0,0,'Données projet'!$E$10+1,1))</f>
        <v>191.94797389630673</v>
      </c>
      <c r="AO89" s="59">
        <f t="shared" si="90"/>
        <v>273.52540822767878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2.9738015118925318</v>
      </c>
      <c r="AW89" s="21">
        <f>EXP(-LN(2)/2)*AW88+(1-EXP(-LN(2)/2))/(LN(2)/2)*AQ89*AT89*VLOOKUP('Données projet'!$B$10,Paramètres!$A$1:$I$89,3,0)*0.475*44/12</f>
        <v>8.6438145189245695E-8</v>
      </c>
      <c r="AX89" s="21">
        <f t="shared" si="60"/>
        <v>3.8231226478915792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3.5470293369144201E-14</v>
      </c>
      <c r="BF89" s="13">
        <f t="shared" si="91"/>
        <v>6.0119115841663204E-13</v>
      </c>
      <c r="BG89" s="20">
        <f t="shared" si="61"/>
        <v>1.1088520285268936E-12</v>
      </c>
      <c r="BH89" s="59">
        <f t="shared" si="62"/>
        <v>293.33333333333445</v>
      </c>
      <c r="BI89" s="59">
        <f ca="1">AVERAGE(OFFSET($BH$3,0,0,'Données projet'!$E$11+1,1))-AVERAGE(OFFSET($H$3,0,0,'Données projet'!$E$11+1,1))</f>
        <v>162.91481796710048</v>
      </c>
      <c r="BJ89" s="59">
        <f t="shared" si="92"/>
        <v>182.56192390367823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0.91749610755266187</v>
      </c>
      <c r="BQ89" s="21">
        <f>EXP(-LN(2)/25)*BQ88+(1-EXP(-LN(2)/25))/(LN(2)/25)*Calculateur!BL89*Calculateur!BN89*VLOOKUP('Données projet'!$B$11,Paramètres!$A$1:$I$89,3,0)*0.475*44/12</f>
        <v>3.2342702627454405</v>
      </c>
      <c r="BR89" s="21">
        <f>EXP(-LN(2)/2)*BR88+(1-EXP(-LN(2)/2))/(LN(2)/2)*BL89*BO89*VLOOKUP('Données projet'!$B$11,Paramètres!$A$1:$I$89,3,0)*0.475*44/12</f>
        <v>6.694240646681719E-8</v>
      </c>
      <c r="BS89" s="22">
        <f t="shared" si="63"/>
        <v>4.151766437240509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8.3000000000000007</v>
      </c>
      <c r="BY89" s="12">
        <f>IF('Données projet'!$A$114&gt;35,BY88+BX89-CG88,IF(A89&lt;'Données projet'!$A$114,$BV$205^A89,IF(A89='Données projet'!$A$114,'Données projet'!$B$114,BY88+BX89-CG88)))</f>
        <v>337.99999999999989</v>
      </c>
      <c r="BZ89" s="13">
        <f>BY89*VLOOKUP('Données projet'!$B$12,Paramètres!$A$1:$I$89,3,0)*VLOOKUP('Données projet'!$B$12,Paramètres!$A$1:$I$89,5,0)</f>
        <v>158.18399999999994</v>
      </c>
      <c r="CA89" s="13">
        <f t="shared" si="93"/>
        <v>40.432639815875881</v>
      </c>
      <c r="CB89" s="20">
        <f t="shared" si="64"/>
        <v>345.92398101265036</v>
      </c>
      <c r="CC89" s="59">
        <f t="shared" si="65"/>
        <v>639.25731434598367</v>
      </c>
      <c r="CD89" s="59">
        <f ca="1">AVERAGE(OFFSET($CC$3,0,0,'Données projet'!$E$12+1,1))-AVERAGE(OFFSET($H$3,0,0,'Données projet'!$E$12+1,1))</f>
        <v>123.60520571614535</v>
      </c>
      <c r="CE89" s="59">
        <f t="shared" si="94"/>
        <v>119.00926870519527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0.28610313889532812</v>
      </c>
      <c r="CL89" s="21">
        <f>EXP(-LN(2)/25)*CL88+(1-EXP(-LN(2)/25))/(LN(2)/25)*Calculateur!CG89*Calculateur!CI89*VLOOKUP('Données projet'!$B$12,Paramètres!$A$1:$I$89,3,0)*0.475*44/12</f>
        <v>1.0111744042201449</v>
      </c>
      <c r="CM89" s="21">
        <f>EXP(-LN(2)/2)*CM88+(1-EXP(-LN(2)/2))/(LN(2)/2)*CG89*CJ89*VLOOKUP('Données projet'!$B$12,Paramètres!$A$1:$I$89,3,0)*0.475*44/12</f>
        <v>2.2775346380034631E-8</v>
      </c>
      <c r="CN89" s="22">
        <f t="shared" si="66"/>
        <v>1.2972775658908193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203.80000000000004</v>
      </c>
      <c r="CU89" s="17">
        <f>CT89*VLOOKUP('Données projet'!$B$13,Paramètres!$A$1:$I$89,3,0)*VLOOKUP('Données projet'!$B$13,Paramètres!$A$1:$I$89,5,0)</f>
        <v>213.01176000000004</v>
      </c>
      <c r="CV89" s="13">
        <f t="shared" si="95"/>
        <v>52.593184597040342</v>
      </c>
      <c r="CW89" s="20">
        <f t="shared" si="67"/>
        <v>462.59527850651199</v>
      </c>
      <c r="CX89" s="59">
        <f t="shared" si="68"/>
        <v>755.9286118398453</v>
      </c>
      <c r="CY89" s="59">
        <f ca="1">AVERAGE(OFFSET($CX$3,0,0,'Données projet'!$E$13+1,1))-AVERAGE(OFFSET($H$3,0,0,'Données projet'!$E$13+1,1))</f>
        <v>177.94336949486529</v>
      </c>
      <c r="CZ89" s="59">
        <f t="shared" si="96"/>
        <v>65.559373432574603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3.3992364478763198E-14</v>
      </c>
      <c r="DQ89" s="13">
        <f t="shared" si="97"/>
        <v>5.790027782444094E-13</v>
      </c>
      <c r="DR89" s="20">
        <f t="shared" si="70"/>
        <v>1.0676332069095257E-12</v>
      </c>
      <c r="DS89" s="59">
        <f t="shared" si="71"/>
        <v>293.33333333333439</v>
      </c>
      <c r="DT89" s="59">
        <f ca="1">AVERAGE(OFFSET($DS$3,0,0,'Données projet'!$E$14+1,1))-AVERAGE(OFFSET($H$3,0,0,'Données projet'!$E$14+1,1))</f>
        <v>165.39579887388538</v>
      </c>
      <c r="DU89" s="59">
        <f t="shared" si="98"/>
        <v>155.89639262545802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1.5430335423448396</v>
      </c>
      <c r="EC89" s="21">
        <f>EXP(-LN(2)/2)*EC88+(1-EXP(-LN(2)/2))/(LN(2)/2)*DW89*DZ89*VLOOKUP('Données projet'!$B$14,Paramètres!$A$1:$I$89,3,0)*0.475*44/12</f>
        <v>5.1707162467304437E-8</v>
      </c>
      <c r="ED89" s="22">
        <f t="shared" si="72"/>
        <v>1.5430335940520021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-1.1368683772161603E-12</v>
      </c>
      <c r="EK89" s="17">
        <f>EJ89*VLOOKUP('Données projet'!$B$15,Paramètres!$A$1:$I$89,3,0)*VLOOKUP('Données projet'!$B$15,Paramètres!$A$1:$I$89,5,0)</f>
        <v>-5.4683368944097316E-13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252.30925789500111</v>
      </c>
      <c r="EP89" s="59">
        <f t="shared" si="100"/>
        <v>213.96033794804805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1.5281361880629729</v>
      </c>
      <c r="EW89" s="21">
        <f>EXP(-LN(2)/25)*EW88+(1-EXP(-LN(2)/25))/(LN(2)/25)*Calculateur!ER89*Calculateur!ET89*VLOOKUP('Données projet'!$B$15,Paramètres!$A$1:$I$89,3,0)*0.475*44/12</f>
        <v>1.9535273719555604</v>
      </c>
      <c r="EX89" s="21">
        <f>EXP(-LN(2)/2)*EX88+(1-EXP(-LN(2)/2))/(LN(2)/2)*ER89*EU89*VLOOKUP('Données projet'!$B$15,Paramètres!$A$1:$I$89,3,0)*0.475*44/12</f>
        <v>5.3560505088083773E-8</v>
      </c>
      <c r="EY89" s="22">
        <f t="shared" si="75"/>
        <v>3.481663613579038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-1.1368683772161603E-12</v>
      </c>
      <c r="FF89" s="17">
        <f>FE89*VLOOKUP('Données projet'!$B$16,Paramètres!$A$1:$I$89,3,0)*VLOOKUP('Données projet'!$B$16,Paramètres!$A$1:$I$89,5,0)</f>
        <v>-5.4683368944097316E-13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252.30925789500111</v>
      </c>
      <c r="FK89" s="59">
        <f t="shared" si="102"/>
        <v>213.96033794804805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1.5281361880629729</v>
      </c>
      <c r="FR89" s="21">
        <f>EXP(-LN(2)/25)*FR88+(1-EXP(-LN(2)/25))/(LN(2)/25)*Calculateur!FM89*Calculateur!FO89*VLOOKUP('Données projet'!$B$16,Paramètres!$A$1:$I$89,3,0)*0.475*44/12</f>
        <v>1.9535273719555604</v>
      </c>
      <c r="FS89" s="21">
        <f>EXP(-LN(2)/2)*FS88+(1-EXP(-LN(2)/2))/(LN(2)/2)*FM89*FP89*VLOOKUP('Données projet'!$B$16,Paramètres!$A$1:$I$89,3,0)*0.475*44/12</f>
        <v>5.3560505088083773E-8</v>
      </c>
      <c r="FT89" s="22">
        <f t="shared" si="78"/>
        <v>3.481663613579038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117.54638373164624</v>
      </c>
      <c r="GF89" s="59">
        <f t="shared" si="104"/>
        <v>133.0740262536583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0.72978640334525191</v>
      </c>
      <c r="GM89" s="21">
        <f>EXP(-LN(2)/25)*GM88+(1-EXP(-LN(2)/25))/(LN(2)/25)*Calculateur!GH89*Calculateur!GJ89*VLOOKUP('Données projet'!$B$17,Paramètres!$A$1:$I$89,3,0)*0.475*44/12</f>
        <v>1.8322698958195518</v>
      </c>
      <c r="GN89" s="21">
        <f>EXP(-LN(2)/2)*GN88+(1-EXP(-LN(2)/2))/(LN(2)/2)*GH89*GK89*VLOOKUP('Données projet'!$B$17,Paramètres!$A$1:$I$89,3,0)*0.475*44/12</f>
        <v>1.507074613376312E-8</v>
      </c>
      <c r="GO89" s="21">
        <f t="shared" si="81"/>
        <v>2.5620563142355497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2.8421709430404007E-14</v>
      </c>
      <c r="GV89" s="17">
        <f>GU89*VLOOKUP('Données projet'!$B$18,Paramètres!$A$1:$I$89,3,0)*VLOOKUP('Données projet'!$B$18,Paramètres!$A$1:$I$89,5,0)</f>
        <v>1.3567387213697657E-14</v>
      </c>
      <c r="GW89" s="13">
        <f t="shared" si="105"/>
        <v>2.5717320947985821E-13</v>
      </c>
      <c r="GX89" s="20">
        <f t="shared" si="82"/>
        <v>4.7153987257460977E-13</v>
      </c>
      <c r="GY89" s="59">
        <f t="shared" si="83"/>
        <v>293.33333333333377</v>
      </c>
      <c r="GZ89" s="59">
        <f ca="1">AVERAGE(OFFSET($GY$3,0,0,'Données projet'!$E$18+1,1))-AVERAGE(OFFSET($H$3,0,0,'Données projet'!$E$18+1,1))</f>
        <v>43.147469606759159</v>
      </c>
      <c r="HA89" s="59">
        <f t="shared" si="106"/>
        <v>147.46995307968473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11.896040316143964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2.05330348475348E-9</v>
      </c>
      <c r="HJ89" s="22">
        <f t="shared" si="84"/>
        <v>11.896040318197267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4.3</v>
      </c>
      <c r="N90" s="13">
        <f>IF('Données projet'!$A$36&gt;35,N89+M90-V89,IF(A90&lt;'Données projet'!$A$36,$K$205^A90,IF(A90='Données projet'!$A$36,'Données projet'!$B$36,N89+M90-V89)))</f>
        <v>208.10000000000005</v>
      </c>
      <c r="O90" s="13">
        <f>N90*VLOOKUP('Données projet'!$B$9,Paramètres!$A$1:$I$89,3,0)*VLOOKUP('Données projet'!$B$9,Paramètres!$A$1:$I$89,5,0)</f>
        <v>188.28888000000003</v>
      </c>
      <c r="P90" s="13">
        <f t="shared" si="87"/>
        <v>47.161449560760389</v>
      </c>
      <c r="Q90" s="20">
        <f t="shared" si="54"/>
        <v>410.07599065165772</v>
      </c>
      <c r="R90" s="59">
        <f t="shared" si="55"/>
        <v>703.40932398499103</v>
      </c>
      <c r="S90" s="59">
        <f ca="1">AVERAGE(OFFSET($R$3,0,0,'Données projet'!$E$9+1,1))-AVERAGE(OFFSET($H$3,0,0,'Données projet'!$E$9+1,1))</f>
        <v>138.8931001150624</v>
      </c>
      <c r="T90" s="59">
        <f t="shared" si="88"/>
        <v>48.964659354096625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2.5</v>
      </c>
      <c r="AI90" s="13">
        <f>IF('Données projet'!$A$62&gt;35,AI89+AH90-AQ89,IF(A90&lt;'Données projet'!$A$62,$AF$205^A90,IF(A90='Données projet'!$A$62,'Données projet'!$B$62,AI89+AH90-AQ89)))</f>
        <v>217.49999999999991</v>
      </c>
      <c r="AJ90" s="13">
        <f>AI90*VLOOKUP('Données projet'!$B$10,Paramètres!$A$1:$I$89,3,0)*VLOOKUP('Données projet'!$B$10,Paramètres!$A$1:$I$89,5,0)</f>
        <v>190.00799999999995</v>
      </c>
      <c r="AK90" s="13">
        <f t="shared" si="89"/>
        <v>47.541721533308163</v>
      </c>
      <c r="AL90" s="20">
        <f t="shared" si="58"/>
        <v>413.73243167051163</v>
      </c>
      <c r="AM90" s="59">
        <f t="shared" si="59"/>
        <v>707.06576500384494</v>
      </c>
      <c r="AN90" s="59">
        <f ca="1">AVERAGE(OFFSET($AM$3,0,0,'Données projet'!$E$10+1,1))-AVERAGE(OFFSET($H$3,0,0,'Données projet'!$E$10+1,1))</f>
        <v>191.94797389630673</v>
      </c>
      <c r="AO90" s="59">
        <f t="shared" si="90"/>
        <v>273.52540822767878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2.8924827531644057</v>
      </c>
      <c r="AW90" s="21">
        <f>EXP(-LN(2)/2)*AW89+(1-EXP(-LN(2)/2))/(LN(2)/2)*AQ90*AT90*VLOOKUP('Données projet'!$B$10,Paramètres!$A$1:$I$89,3,0)*0.475*44/12</f>
        <v>6.1120998616502979E-8</v>
      </c>
      <c r="AX90" s="21">
        <f t="shared" si="60"/>
        <v>3.7251491960991059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3.5470293369144201E-14</v>
      </c>
      <c r="BF90" s="13">
        <f t="shared" si="91"/>
        <v>6.0119115841663204E-13</v>
      </c>
      <c r="BG90" s="20">
        <f t="shared" si="61"/>
        <v>1.1088520285268936E-12</v>
      </c>
      <c r="BH90" s="59">
        <f t="shared" si="62"/>
        <v>293.33333333333445</v>
      </c>
      <c r="BI90" s="59">
        <f ca="1">AVERAGE(OFFSET($BH$3,0,0,'Données projet'!$E$11+1,1))-AVERAGE(OFFSET($H$3,0,0,'Données projet'!$E$11+1,1))</f>
        <v>162.91481796710048</v>
      </c>
      <c r="BJ90" s="59">
        <f t="shared" si="92"/>
        <v>182.56192390367823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0.8995045685009222</v>
      </c>
      <c r="BQ90" s="21">
        <f>EXP(-LN(2)/25)*BQ89+(1-EXP(-LN(2)/25))/(LN(2)/25)*Calculateur!BL90*Calculateur!BN90*VLOOKUP('Données projet'!$B$11,Paramètres!$A$1:$I$89,3,0)*0.475*44/12</f>
        <v>3.1458289723277852</v>
      </c>
      <c r="BR90" s="21">
        <f>EXP(-LN(2)/2)*BR89+(1-EXP(-LN(2)/2))/(LN(2)/2)*BL90*BO90*VLOOKUP('Données projet'!$B$11,Paramètres!$A$1:$I$89,3,0)*0.475*44/12</f>
        <v>4.7335429561632628E-8</v>
      </c>
      <c r="BS90" s="22">
        <f t="shared" si="63"/>
        <v>4.0453335881641372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8.3000000000000007</v>
      </c>
      <c r="BY90" s="12">
        <f>IF('Données projet'!$A$114&gt;35,BY89+BX90-CG89,IF(A90&lt;'Données projet'!$A$114,$BV$205^A90,IF(A90='Données projet'!$A$114,'Données projet'!$B$114,BY89+BX90-CG89)))</f>
        <v>346.2999999999999</v>
      </c>
      <c r="BZ90" s="13">
        <f>BY90*VLOOKUP('Données projet'!$B$12,Paramètres!$A$1:$I$89,3,0)*VLOOKUP('Données projet'!$B$12,Paramètres!$A$1:$I$89,5,0)</f>
        <v>162.06839999999997</v>
      </c>
      <c r="CA90" s="13">
        <f t="shared" si="93"/>
        <v>41.308699466829864</v>
      </c>
      <c r="CB90" s="20">
        <f t="shared" si="64"/>
        <v>354.21511490472858</v>
      </c>
      <c r="CC90" s="59">
        <f t="shared" si="65"/>
        <v>647.54844823806184</v>
      </c>
      <c r="CD90" s="59">
        <f ca="1">AVERAGE(OFFSET($CC$3,0,0,'Données projet'!$E$12+1,1))-AVERAGE(OFFSET($H$3,0,0,'Données projet'!$E$12+1,1))</f>
        <v>123.60520571614535</v>
      </c>
      <c r="CE90" s="59">
        <f t="shared" si="94"/>
        <v>119.00926870519527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0.28049283084727444</v>
      </c>
      <c r="CL90" s="21">
        <f>EXP(-LN(2)/25)*CL89+(1-EXP(-LN(2)/25))/(LN(2)/25)*Calculateur!CG90*Calculateur!CI90*VLOOKUP('Données projet'!$B$12,Paramètres!$A$1:$I$89,3,0)*0.475*44/12</f>
        <v>0.9835237869613942</v>
      </c>
      <c r="CM90" s="21">
        <f>EXP(-LN(2)/2)*CM89+(1-EXP(-LN(2)/2))/(LN(2)/2)*CG90*CJ90*VLOOKUP('Données projet'!$B$12,Paramètres!$A$1:$I$89,3,0)*0.475*44/12</f>
        <v>1.6104601869194975E-8</v>
      </c>
      <c r="CN90" s="22">
        <f t="shared" si="66"/>
        <v>1.2640166339132706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208.10000000000005</v>
      </c>
      <c r="CU90" s="17">
        <f>CT90*VLOOKUP('Données projet'!$B$13,Paramètres!$A$1:$I$89,3,0)*VLOOKUP('Données projet'!$B$13,Paramètres!$A$1:$I$89,5,0)</f>
        <v>217.5061200000001</v>
      </c>
      <c r="CV90" s="13">
        <f t="shared" si="95"/>
        <v>53.572494103712977</v>
      </c>
      <c r="CW90" s="20">
        <f t="shared" si="67"/>
        <v>472.12858623063352</v>
      </c>
      <c r="CX90" s="59">
        <f t="shared" si="68"/>
        <v>765.46191956396683</v>
      </c>
      <c r="CY90" s="59">
        <f ca="1">AVERAGE(OFFSET($CX$3,0,0,'Données projet'!$E$13+1,1))-AVERAGE(OFFSET($H$3,0,0,'Données projet'!$E$13+1,1))</f>
        <v>177.94336949486529</v>
      </c>
      <c r="CZ90" s="59">
        <f t="shared" si="96"/>
        <v>65.559373432574603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3.3992364478763198E-14</v>
      </c>
      <c r="DQ90" s="13">
        <f t="shared" si="97"/>
        <v>5.790027782444094E-13</v>
      </c>
      <c r="DR90" s="20">
        <f t="shared" si="70"/>
        <v>1.0676332069095257E-12</v>
      </c>
      <c r="DS90" s="59">
        <f t="shared" si="71"/>
        <v>293.33333333333439</v>
      </c>
      <c r="DT90" s="59">
        <f ca="1">AVERAGE(OFFSET($DS$3,0,0,'Données projet'!$E$14+1,1))-AVERAGE(OFFSET($H$3,0,0,'Données projet'!$E$14+1,1))</f>
        <v>165.39579887388538</v>
      </c>
      <c r="DU90" s="59">
        <f t="shared" si="98"/>
        <v>155.89639262545802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1.5008392089848126</v>
      </c>
      <c r="EC90" s="21">
        <f>EXP(-LN(2)/2)*EC89+(1-EXP(-LN(2)/2))/(LN(2)/2)*DW90*DZ90*VLOOKUP('Données projet'!$B$14,Paramètres!$A$1:$I$89,3,0)*0.475*44/12</f>
        <v>3.6562485216545501E-8</v>
      </c>
      <c r="ED90" s="22">
        <f t="shared" si="72"/>
        <v>1.5008392455472979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-1.1368683772161603E-12</v>
      </c>
      <c r="EK90" s="17">
        <f>EJ90*VLOOKUP('Données projet'!$B$15,Paramètres!$A$1:$I$89,3,0)*VLOOKUP('Données projet'!$B$15,Paramètres!$A$1:$I$89,5,0)</f>
        <v>-5.4683368944097316E-13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252.30925789500111</v>
      </c>
      <c r="EP90" s="59">
        <f t="shared" si="100"/>
        <v>213.96033794804805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1.4981703694860984</v>
      </c>
      <c r="EW90" s="21">
        <f>EXP(-LN(2)/25)*EW89+(1-EXP(-LN(2)/25))/(LN(2)/25)*Calculateur!ER90*Calculateur!ET90*VLOOKUP('Données projet'!$B$15,Paramètres!$A$1:$I$89,3,0)*0.475*44/12</f>
        <v>1.9001080632378959</v>
      </c>
      <c r="EX90" s="21">
        <f>EXP(-LN(2)/2)*EX89+(1-EXP(-LN(2)/2))/(LN(2)/2)*ER90*EU90*VLOOKUP('Données projet'!$B$15,Paramètres!$A$1:$I$89,3,0)*0.475*44/12</f>
        <v>3.7872996351560618E-8</v>
      </c>
      <c r="EY90" s="22">
        <f t="shared" si="75"/>
        <v>3.3982784705969906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-1.1368683772161603E-12</v>
      </c>
      <c r="FF90" s="17">
        <f>FE90*VLOOKUP('Données projet'!$B$16,Paramètres!$A$1:$I$89,3,0)*VLOOKUP('Données projet'!$B$16,Paramètres!$A$1:$I$89,5,0)</f>
        <v>-5.4683368944097316E-13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252.30925789500111</v>
      </c>
      <c r="FK90" s="59">
        <f t="shared" si="102"/>
        <v>213.96033794804805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1.4981703694860984</v>
      </c>
      <c r="FR90" s="21">
        <f>EXP(-LN(2)/25)*FR89+(1-EXP(-LN(2)/25))/(LN(2)/25)*Calculateur!FM90*Calculateur!FO90*VLOOKUP('Données projet'!$B$16,Paramètres!$A$1:$I$89,3,0)*0.475*44/12</f>
        <v>1.9001080632378959</v>
      </c>
      <c r="FS90" s="21">
        <f>EXP(-LN(2)/2)*FS89+(1-EXP(-LN(2)/2))/(LN(2)/2)*FM90*FP90*VLOOKUP('Données projet'!$B$16,Paramètres!$A$1:$I$89,3,0)*0.475*44/12</f>
        <v>3.7872996351560618E-8</v>
      </c>
      <c r="FT90" s="22">
        <f t="shared" si="78"/>
        <v>3.3982784705969906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117.54638373164624</v>
      </c>
      <c r="GF90" s="59">
        <f t="shared" si="104"/>
        <v>133.0740262536583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0.715475737101405</v>
      </c>
      <c r="GM90" s="21">
        <f>EXP(-LN(2)/25)*GM89+(1-EXP(-LN(2)/25))/(LN(2)/25)*Calculateur!GH90*Calculateur!GJ90*VLOOKUP('Données projet'!$B$17,Paramètres!$A$1:$I$89,3,0)*0.475*44/12</f>
        <v>1.7821663791634801</v>
      </c>
      <c r="GN90" s="21">
        <f>EXP(-LN(2)/2)*GN89+(1-EXP(-LN(2)/2))/(LN(2)/2)*GH90*GK90*VLOOKUP('Données projet'!$B$17,Paramètres!$A$1:$I$89,3,0)*0.475*44/12</f>
        <v>1.0656626788724846E-8</v>
      </c>
      <c r="GO90" s="21">
        <f t="shared" si="81"/>
        <v>2.4976421269215119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2.8421709430404007E-14</v>
      </c>
      <c r="GV90" s="17">
        <f>GU90*VLOOKUP('Données projet'!$B$18,Paramètres!$A$1:$I$89,3,0)*VLOOKUP('Données projet'!$B$18,Paramètres!$A$1:$I$89,5,0)</f>
        <v>1.3567387213697657E-14</v>
      </c>
      <c r="GW90" s="13">
        <f t="shared" si="105"/>
        <v>2.5717320947985821E-13</v>
      </c>
      <c r="GX90" s="20">
        <f t="shared" si="82"/>
        <v>4.7153987257460977E-13</v>
      </c>
      <c r="GY90" s="59">
        <f t="shared" si="83"/>
        <v>293.33333333333377</v>
      </c>
      <c r="GZ90" s="59">
        <f ca="1">AVERAGE(OFFSET($GY$3,0,0,'Données projet'!$E$18+1,1))-AVERAGE(OFFSET($H$3,0,0,'Données projet'!$E$18+1,1))</f>
        <v>43.147469606759159</v>
      </c>
      <c r="HA90" s="59">
        <f t="shared" si="106"/>
        <v>147.46995307968473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11.662766221412516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1.4519048179031545E-9</v>
      </c>
      <c r="HJ90" s="22">
        <f t="shared" si="84"/>
        <v>11.662766222864422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4.3</v>
      </c>
      <c r="N91" s="13">
        <f>IF('Données projet'!$A$36&gt;35,N90+M91-V90,IF(A91&lt;'Données projet'!$A$36,$K$205^A91,IF(A91='Données projet'!$A$36,'Données projet'!$B$36,N90+M91-V90)))</f>
        <v>212.40000000000006</v>
      </c>
      <c r="O91" s="13">
        <f>N91*VLOOKUP('Données projet'!$B$9,Paramètres!$A$1:$I$89,3,0)*VLOOKUP('Données projet'!$B$9,Paramètres!$A$1:$I$89,5,0)</f>
        <v>192.17952000000005</v>
      </c>
      <c r="P91" s="13">
        <f t="shared" si="87"/>
        <v>48.021493442275357</v>
      </c>
      <c r="Q91" s="20">
        <f t="shared" si="54"/>
        <v>418.35009841196302</v>
      </c>
      <c r="R91" s="59">
        <f t="shared" si="55"/>
        <v>711.68343174529628</v>
      </c>
      <c r="S91" s="59">
        <f ca="1">AVERAGE(OFFSET($R$3,0,0,'Données projet'!$E$9+1,1))-AVERAGE(OFFSET($H$3,0,0,'Données projet'!$E$9+1,1))</f>
        <v>138.8931001150624</v>
      </c>
      <c r="T91" s="59">
        <f t="shared" si="88"/>
        <v>48.964659354096625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2.5</v>
      </c>
      <c r="AI91" s="13">
        <f>IF('Données projet'!$A$62&gt;35,AI90+AH91-AQ90,IF(A91&lt;'Données projet'!$A$62,$AF$205^A91,IF(A91='Données projet'!$A$62,'Données projet'!$B$62,AI90+AH91-AQ90)))</f>
        <v>219.99999999999991</v>
      </c>
      <c r="AJ91" s="13">
        <f>AI91*VLOOKUP('Données projet'!$B$10,Paramètres!$A$1:$I$89,3,0)*VLOOKUP('Données projet'!$B$10,Paramètres!$A$1:$I$89,5,0)</f>
        <v>192.19199999999995</v>
      </c>
      <c r="AK91" s="13">
        <f t="shared" si="89"/>
        <v>48.02424892193244</v>
      </c>
      <c r="AL91" s="20">
        <f t="shared" si="58"/>
        <v>418.37663353903218</v>
      </c>
      <c r="AM91" s="59">
        <f t="shared" si="59"/>
        <v>711.7099668723655</v>
      </c>
      <c r="AN91" s="59">
        <f ca="1">AVERAGE(OFFSET($AM$3,0,0,'Données projet'!$E$10+1,1))-AVERAGE(OFFSET($H$3,0,0,'Données projet'!$E$10+1,1))</f>
        <v>191.94797389630673</v>
      </c>
      <c r="AO91" s="59">
        <f t="shared" si="90"/>
        <v>273.52540822767878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2.813387660170068</v>
      </c>
      <c r="AW91" s="21">
        <f>EXP(-LN(2)/2)*AW90+(1-EXP(-LN(2)/2))/(LN(2)/2)*AQ91*AT91*VLOOKUP('Données projet'!$B$10,Paramètres!$A$1:$I$89,3,0)*0.475*44/12</f>
        <v>4.3219072594622848E-8</v>
      </c>
      <c r="AX91" s="21">
        <f t="shared" si="60"/>
        <v>3.6297260053318201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3.5470293369144201E-14</v>
      </c>
      <c r="BF91" s="13">
        <f t="shared" si="91"/>
        <v>6.0119115841663204E-13</v>
      </c>
      <c r="BG91" s="20">
        <f t="shared" si="61"/>
        <v>1.1088520285268936E-12</v>
      </c>
      <c r="BH91" s="59">
        <f t="shared" si="62"/>
        <v>293.33333333333445</v>
      </c>
      <c r="BI91" s="59">
        <f ca="1">AVERAGE(OFFSET($BH$3,0,0,'Données projet'!$E$11+1,1))-AVERAGE(OFFSET($H$3,0,0,'Données projet'!$E$11+1,1))</f>
        <v>162.91481796710048</v>
      </c>
      <c r="BJ91" s="59">
        <f t="shared" si="92"/>
        <v>182.56192390367823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0.88186583255623185</v>
      </c>
      <c r="BQ91" s="21">
        <f>EXP(-LN(2)/25)*BQ90+(1-EXP(-LN(2)/25))/(LN(2)/25)*Calculateur!BL91*Calculateur!BN91*VLOOKUP('Données projet'!$B$11,Paramètres!$A$1:$I$89,3,0)*0.475*44/12</f>
        <v>3.0598061136475261</v>
      </c>
      <c r="BR91" s="21">
        <f>EXP(-LN(2)/2)*BR90+(1-EXP(-LN(2)/2))/(LN(2)/2)*BL91*BO91*VLOOKUP('Données projet'!$B$11,Paramètres!$A$1:$I$89,3,0)*0.475*44/12</f>
        <v>3.3471203233408595E-8</v>
      </c>
      <c r="BS91" s="22">
        <f t="shared" si="63"/>
        <v>3.9416719796749611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8.3000000000000007</v>
      </c>
      <c r="BY91" s="12">
        <f>IF('Données projet'!$A$114&gt;35,BY90+BX91-CG90,IF(A91&lt;'Données projet'!$A$114,$BV$205^A91,IF(A91='Données projet'!$A$114,'Données projet'!$B$114,BY90+BX91-CG90)))</f>
        <v>354.59999999999991</v>
      </c>
      <c r="BZ91" s="13">
        <f>BY91*VLOOKUP('Données projet'!$B$12,Paramètres!$A$1:$I$89,3,0)*VLOOKUP('Données projet'!$B$12,Paramètres!$A$1:$I$89,5,0)</f>
        <v>165.95279999999997</v>
      </c>
      <c r="CA91" s="13">
        <f t="shared" si="93"/>
        <v>42.182318214665827</v>
      </c>
      <c r="CB91" s="20">
        <f t="shared" si="64"/>
        <v>362.50199755720956</v>
      </c>
      <c r="CC91" s="59">
        <f t="shared" si="65"/>
        <v>655.83533089054288</v>
      </c>
      <c r="CD91" s="59">
        <f ca="1">AVERAGE(OFFSET($CC$3,0,0,'Données projet'!$E$12+1,1))-AVERAGE(OFFSET($H$3,0,0,'Données projet'!$E$12+1,1))</f>
        <v>123.60520571614535</v>
      </c>
      <c r="CE91" s="59">
        <f t="shared" si="94"/>
        <v>119.00926870519527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0.27499253751809311</v>
      </c>
      <c r="CL91" s="21">
        <f>EXP(-LN(2)/25)*CL90+(1-EXP(-LN(2)/25))/(LN(2)/25)*Calculateur!CG91*Calculateur!CI91*VLOOKUP('Données projet'!$B$12,Paramètres!$A$1:$I$89,3,0)*0.475*44/12</f>
        <v>0.95662927728566682</v>
      </c>
      <c r="CM91" s="21">
        <f>EXP(-LN(2)/2)*CM90+(1-EXP(-LN(2)/2))/(LN(2)/2)*CG91*CJ91*VLOOKUP('Données projet'!$B$12,Paramètres!$A$1:$I$89,3,0)*0.475*44/12</f>
        <v>1.1387673190017316E-8</v>
      </c>
      <c r="CN91" s="22">
        <f t="shared" si="66"/>
        <v>1.2316218261914331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212.40000000000006</v>
      </c>
      <c r="CU91" s="17">
        <f>CT91*VLOOKUP('Données projet'!$B$13,Paramètres!$A$1:$I$89,3,0)*VLOOKUP('Données projet'!$B$13,Paramètres!$A$1:$I$89,5,0)</f>
        <v>222.0004800000001</v>
      </c>
      <c r="CV91" s="13">
        <f t="shared" si="95"/>
        <v>54.549450838514623</v>
      </c>
      <c r="CW91" s="20">
        <f t="shared" si="67"/>
        <v>481.6577962104131</v>
      </c>
      <c r="CX91" s="59">
        <f t="shared" si="68"/>
        <v>774.99112954374641</v>
      </c>
      <c r="CY91" s="59">
        <f ca="1">AVERAGE(OFFSET($CX$3,0,0,'Données projet'!$E$13+1,1))-AVERAGE(OFFSET($H$3,0,0,'Données projet'!$E$13+1,1))</f>
        <v>177.94336949486529</v>
      </c>
      <c r="CZ91" s="59">
        <f t="shared" si="96"/>
        <v>65.559373432574603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3.3992364478763198E-14</v>
      </c>
      <c r="DQ91" s="13">
        <f t="shared" si="97"/>
        <v>5.790027782444094E-13</v>
      </c>
      <c r="DR91" s="20">
        <f t="shared" si="70"/>
        <v>1.0676332069095257E-12</v>
      </c>
      <c r="DS91" s="59">
        <f t="shared" si="71"/>
        <v>293.33333333333439</v>
      </c>
      <c r="DT91" s="59">
        <f ca="1">AVERAGE(OFFSET($DS$3,0,0,'Données projet'!$E$14+1,1))-AVERAGE(OFFSET($H$3,0,0,'Données projet'!$E$14+1,1))</f>
        <v>165.39579887388538</v>
      </c>
      <c r="DU91" s="59">
        <f t="shared" si="98"/>
        <v>155.89639262545802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1.4597986818894191</v>
      </c>
      <c r="EC91" s="21">
        <f>EXP(-LN(2)/2)*EC90+(1-EXP(-LN(2)/2))/(LN(2)/2)*DW91*DZ91*VLOOKUP('Données projet'!$B$14,Paramètres!$A$1:$I$89,3,0)*0.475*44/12</f>
        <v>2.5853581233652219E-8</v>
      </c>
      <c r="ED91" s="22">
        <f t="shared" si="72"/>
        <v>1.4597987077430004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-1.1368683772161603E-12</v>
      </c>
      <c r="EK91" s="17">
        <f>EJ91*VLOOKUP('Données projet'!$B$15,Paramètres!$A$1:$I$89,3,0)*VLOOKUP('Données projet'!$B$15,Paramètres!$A$1:$I$89,5,0)</f>
        <v>-5.4683368944097316E-13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252.30925789500111</v>
      </c>
      <c r="EP91" s="59">
        <f t="shared" si="100"/>
        <v>213.96033794804805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1.4687921623341718</v>
      </c>
      <c r="EW91" s="21">
        <f>EXP(-LN(2)/25)*EW90+(1-EXP(-LN(2)/25))/(LN(2)/25)*Calculateur!ER91*Calculateur!ET91*VLOOKUP('Données projet'!$B$15,Paramètres!$A$1:$I$89,3,0)*0.475*44/12</f>
        <v>1.8481495083263153</v>
      </c>
      <c r="EX91" s="21">
        <f>EXP(-LN(2)/2)*EX90+(1-EXP(-LN(2)/2))/(LN(2)/2)*ER91*EU91*VLOOKUP('Données projet'!$B$15,Paramètres!$A$1:$I$89,3,0)*0.475*44/12</f>
        <v>2.6780252544041887E-8</v>
      </c>
      <c r="EY91" s="22">
        <f t="shared" si="75"/>
        <v>3.3169416974407397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-1.1368683772161603E-12</v>
      </c>
      <c r="FF91" s="17">
        <f>FE91*VLOOKUP('Données projet'!$B$16,Paramètres!$A$1:$I$89,3,0)*VLOOKUP('Données projet'!$B$16,Paramètres!$A$1:$I$89,5,0)</f>
        <v>-5.4683368944097316E-13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252.30925789500111</v>
      </c>
      <c r="FK91" s="59">
        <f t="shared" si="102"/>
        <v>213.96033794804805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1.4687921623341718</v>
      </c>
      <c r="FR91" s="21">
        <f>EXP(-LN(2)/25)*FR90+(1-EXP(-LN(2)/25))/(LN(2)/25)*Calculateur!FM91*Calculateur!FO91*VLOOKUP('Données projet'!$B$16,Paramètres!$A$1:$I$89,3,0)*0.475*44/12</f>
        <v>1.8481495083263153</v>
      </c>
      <c r="FS91" s="21">
        <f>EXP(-LN(2)/2)*FS90+(1-EXP(-LN(2)/2))/(LN(2)/2)*FM91*FP91*VLOOKUP('Données projet'!$B$16,Paramètres!$A$1:$I$89,3,0)*0.475*44/12</f>
        <v>2.6780252544041887E-8</v>
      </c>
      <c r="FT91" s="22">
        <f t="shared" si="78"/>
        <v>3.3169416974407397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117.54638373164624</v>
      </c>
      <c r="GF91" s="59">
        <f t="shared" si="104"/>
        <v>133.0740262536583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0.70144569429395542</v>
      </c>
      <c r="GM91" s="21">
        <f>EXP(-LN(2)/25)*GM90+(1-EXP(-LN(2)/25))/(LN(2)/25)*Calculateur!GH91*Calculateur!GJ91*VLOOKUP('Données projet'!$B$17,Paramètres!$A$1:$I$89,3,0)*0.475*44/12</f>
        <v>1.733432945805198</v>
      </c>
      <c r="GN91" s="21">
        <f>EXP(-LN(2)/2)*GN90+(1-EXP(-LN(2)/2))/(LN(2)/2)*GH91*GK91*VLOOKUP('Données projet'!$B$17,Paramètres!$A$1:$I$89,3,0)*0.475*44/12</f>
        <v>7.5353730668815601E-9</v>
      </c>
      <c r="GO91" s="21">
        <f t="shared" si="81"/>
        <v>2.4348786476345268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2.8421709430404007E-14</v>
      </c>
      <c r="GV91" s="17">
        <f>GU91*VLOOKUP('Données projet'!$B$18,Paramètres!$A$1:$I$89,3,0)*VLOOKUP('Données projet'!$B$18,Paramètres!$A$1:$I$89,5,0)</f>
        <v>1.3567387213697657E-14</v>
      </c>
      <c r="GW91" s="13">
        <f t="shared" si="105"/>
        <v>2.5717320947985821E-13</v>
      </c>
      <c r="GX91" s="20">
        <f t="shared" si="82"/>
        <v>4.7153987257460977E-13</v>
      </c>
      <c r="GY91" s="59">
        <f t="shared" si="83"/>
        <v>293.33333333333377</v>
      </c>
      <c r="GZ91" s="59">
        <f ca="1">AVERAGE(OFFSET($GY$3,0,0,'Données projet'!$E$18+1,1))-AVERAGE(OFFSET($H$3,0,0,'Données projet'!$E$18+1,1))</f>
        <v>43.147469606759159</v>
      </c>
      <c r="HA91" s="59">
        <f t="shared" si="106"/>
        <v>147.46995307968473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11.434066489395605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1.02665174237674E-9</v>
      </c>
      <c r="HJ91" s="22">
        <f t="shared" si="84"/>
        <v>11.434066490422257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4.3</v>
      </c>
      <c r="N92" s="13">
        <f>IF('Données projet'!$A$36&gt;35,N91+M92-V91,IF(A92&lt;'Données projet'!$A$36,$K$205^A92,IF(A92='Données projet'!$A$36,'Données projet'!$B$36,N91+M92-V91)))</f>
        <v>216.70000000000007</v>
      </c>
      <c r="O92" s="13">
        <f>N92*VLOOKUP('Données projet'!$B$9,Paramètres!$A$1:$I$89,3,0)*VLOOKUP('Données projet'!$B$9,Paramètres!$A$1:$I$89,5,0)</f>
        <v>196.07016000000007</v>
      </c>
      <c r="P92" s="13">
        <f t="shared" si="87"/>
        <v>48.879512872705831</v>
      </c>
      <c r="Q92" s="20">
        <f t="shared" si="54"/>
        <v>426.62068025329609</v>
      </c>
      <c r="R92" s="59">
        <f t="shared" si="55"/>
        <v>719.95401358662934</v>
      </c>
      <c r="S92" s="59">
        <f ca="1">AVERAGE(OFFSET($R$3,0,0,'Données projet'!$E$9+1,1))-AVERAGE(OFFSET($H$3,0,0,'Données projet'!$E$9+1,1))</f>
        <v>138.8931001150624</v>
      </c>
      <c r="T92" s="59">
        <f t="shared" si="88"/>
        <v>48.964659354096625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2.5</v>
      </c>
      <c r="AI92" s="13">
        <f>IF('Données projet'!$A$62&gt;35,AI91+AH92-AQ91,IF(A92&lt;'Données projet'!$A$62,$AF$205^A92,IF(A92='Données projet'!$A$62,'Données projet'!$B$62,AI91+AH92-AQ91)))</f>
        <v>222.49999999999991</v>
      </c>
      <c r="AJ92" s="13">
        <f>AI92*VLOOKUP('Données projet'!$B$10,Paramètres!$A$1:$I$89,3,0)*VLOOKUP('Données projet'!$B$10,Paramètres!$A$1:$I$89,5,0)</f>
        <v>194.37599999999995</v>
      </c>
      <c r="AK92" s="13">
        <f t="shared" si="89"/>
        <v>48.506138465833089</v>
      </c>
      <c r="AL92" s="20">
        <f t="shared" si="58"/>
        <v>423.01972449465916</v>
      </c>
      <c r="AM92" s="59">
        <f t="shared" si="59"/>
        <v>716.35305782799242</v>
      </c>
      <c r="AN92" s="59">
        <f ca="1">AVERAGE(OFFSET($AM$3,0,0,'Données projet'!$E$10+1,1))-AVERAGE(OFFSET($H$3,0,0,'Données projet'!$E$10+1,1))</f>
        <v>191.94797389630673</v>
      </c>
      <c r="AO92" s="59">
        <f t="shared" si="90"/>
        <v>273.52540822767878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2.7364554266530905</v>
      </c>
      <c r="AW92" s="21">
        <f>EXP(-LN(2)/2)*AW91+(1-EXP(-LN(2)/2))/(LN(2)/2)*AQ92*AT92*VLOOKUP('Données projet'!$B$10,Paramètres!$A$1:$I$89,3,0)*0.475*44/12</f>
        <v>3.056049930825149E-8</v>
      </c>
      <c r="AX92" s="21">
        <f t="shared" si="60"/>
        <v>3.5367858629723723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3.5470293369144201E-14</v>
      </c>
      <c r="BF92" s="13">
        <f t="shared" si="91"/>
        <v>6.0119115841663204E-13</v>
      </c>
      <c r="BG92" s="20">
        <f t="shared" si="61"/>
        <v>1.1088520285268936E-12</v>
      </c>
      <c r="BH92" s="59">
        <f t="shared" si="62"/>
        <v>293.33333333333445</v>
      </c>
      <c r="BI92" s="59">
        <f ca="1">AVERAGE(OFFSET($BH$3,0,0,'Données projet'!$E$11+1,1))-AVERAGE(OFFSET($H$3,0,0,'Données projet'!$E$11+1,1))</f>
        <v>162.91481796710048</v>
      </c>
      <c r="BJ92" s="59">
        <f t="shared" si="92"/>
        <v>182.56192390367823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0.86457298146485029</v>
      </c>
      <c r="BQ92" s="21">
        <f>EXP(-LN(2)/25)*BQ91+(1-EXP(-LN(2)/25))/(LN(2)/25)*Calculateur!BL92*Calculateur!BN92*VLOOKUP('Données projet'!$B$11,Paramètres!$A$1:$I$89,3,0)*0.475*44/12</f>
        <v>2.9761355545616244</v>
      </c>
      <c r="BR92" s="21">
        <f>EXP(-LN(2)/2)*BR91+(1-EXP(-LN(2)/2))/(LN(2)/2)*BL92*BO92*VLOOKUP('Données projet'!$B$11,Paramètres!$A$1:$I$89,3,0)*0.475*44/12</f>
        <v>2.3667714780816314E-8</v>
      </c>
      <c r="BS92" s="22">
        <f t="shared" si="63"/>
        <v>3.8407085596941895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8.3000000000000007</v>
      </c>
      <c r="BY92" s="12">
        <f>IF('Données projet'!$A$114&gt;35,BY91+BX92-CG91,IF(A92&lt;'Données projet'!$A$114,$BV$205^A92,IF(A92='Données projet'!$A$114,'Données projet'!$B$114,BY91+BX92-CG91)))</f>
        <v>362.89999999999992</v>
      </c>
      <c r="BZ92" s="13">
        <f>BY92*VLOOKUP('Données projet'!$B$12,Paramètres!$A$1:$I$89,3,0)*VLOOKUP('Données projet'!$B$12,Paramètres!$A$1:$I$89,5,0)</f>
        <v>169.83719999999997</v>
      </c>
      <c r="CA92" s="13">
        <f t="shared" si="93"/>
        <v>43.053559768035221</v>
      </c>
      <c r="CB92" s="20">
        <f t="shared" si="64"/>
        <v>370.78473992932794</v>
      </c>
      <c r="CC92" s="59">
        <f t="shared" si="65"/>
        <v>664.11807326266126</v>
      </c>
      <c r="CD92" s="59">
        <f ca="1">AVERAGE(OFFSET($CC$3,0,0,'Données projet'!$E$12+1,1))-AVERAGE(OFFSET($H$3,0,0,'Données projet'!$E$12+1,1))</f>
        <v>123.60520571614535</v>
      </c>
      <c r="CE92" s="59">
        <f t="shared" si="94"/>
        <v>119.00926870519527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0.26960010158624931</v>
      </c>
      <c r="CL92" s="21">
        <f>EXP(-LN(2)/25)*CL91+(1-EXP(-LN(2)/25))/(LN(2)/25)*Calculateur!CG92*Calculateur!CI92*VLOOKUP('Données projet'!$B$12,Paramètres!$A$1:$I$89,3,0)*0.475*44/12</f>
        <v>0.93047019939134301</v>
      </c>
      <c r="CM92" s="21">
        <f>EXP(-LN(2)/2)*CM91+(1-EXP(-LN(2)/2))/(LN(2)/2)*CG92*CJ92*VLOOKUP('Données projet'!$B$12,Paramètres!$A$1:$I$89,3,0)*0.475*44/12</f>
        <v>8.0523009345974874E-9</v>
      </c>
      <c r="CN92" s="22">
        <f t="shared" si="66"/>
        <v>1.2000703090298932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216.70000000000007</v>
      </c>
      <c r="CU92" s="17">
        <f>CT92*VLOOKUP('Données projet'!$B$13,Paramètres!$A$1:$I$89,3,0)*VLOOKUP('Données projet'!$B$13,Paramètres!$A$1:$I$89,5,0)</f>
        <v>226.4948400000001</v>
      </c>
      <c r="CV92" s="13">
        <f t="shared" si="95"/>
        <v>55.524107921910399</v>
      </c>
      <c r="CW92" s="20">
        <f t="shared" si="67"/>
        <v>491.18300096399406</v>
      </c>
      <c r="CX92" s="59">
        <f t="shared" si="68"/>
        <v>784.51633429732738</v>
      </c>
      <c r="CY92" s="59">
        <f ca="1">AVERAGE(OFFSET($CX$3,0,0,'Données projet'!$E$13+1,1))-AVERAGE(OFFSET($H$3,0,0,'Données projet'!$E$13+1,1))</f>
        <v>177.94336949486529</v>
      </c>
      <c r="CZ92" s="59">
        <f t="shared" si="96"/>
        <v>65.559373432574603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3.3992364478763198E-14</v>
      </c>
      <c r="DQ92" s="13">
        <f t="shared" si="97"/>
        <v>5.790027782444094E-13</v>
      </c>
      <c r="DR92" s="20">
        <f t="shared" si="70"/>
        <v>1.0676332069095257E-12</v>
      </c>
      <c r="DS92" s="59">
        <f t="shared" si="71"/>
        <v>293.33333333333439</v>
      </c>
      <c r="DT92" s="59">
        <f ca="1">AVERAGE(OFFSET($DS$3,0,0,'Données projet'!$E$14+1,1))-AVERAGE(OFFSET($H$3,0,0,'Données projet'!$E$14+1,1))</f>
        <v>165.39579887388538</v>
      </c>
      <c r="DU92" s="59">
        <f t="shared" si="98"/>
        <v>155.89639262545802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1.4198804101656766</v>
      </c>
      <c r="EC92" s="21">
        <f>EXP(-LN(2)/2)*EC91+(1-EXP(-LN(2)/2))/(LN(2)/2)*DW92*DZ92*VLOOKUP('Données projet'!$B$14,Paramètres!$A$1:$I$89,3,0)*0.475*44/12</f>
        <v>1.828124260827275E-8</v>
      </c>
      <c r="ED92" s="22">
        <f t="shared" si="72"/>
        <v>1.4198804284469191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-1.1368683772161603E-12</v>
      </c>
      <c r="EK92" s="17">
        <f>EJ92*VLOOKUP('Données projet'!$B$15,Paramètres!$A$1:$I$89,3,0)*VLOOKUP('Données projet'!$B$15,Paramètres!$A$1:$I$89,5,0)</f>
        <v>-5.4683368944097316E-13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252.30925789500111</v>
      </c>
      <c r="EP92" s="59">
        <f t="shared" si="100"/>
        <v>213.96033794804805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1.4399900439055573</v>
      </c>
      <c r="EW92" s="21">
        <f>EXP(-LN(2)/25)*EW91+(1-EXP(-LN(2)/25))/(LN(2)/25)*Calculateur!ER92*Calculateur!ET92*VLOOKUP('Données projet'!$B$15,Paramètres!$A$1:$I$89,3,0)*0.475*44/12</f>
        <v>1.7976117628311736</v>
      </c>
      <c r="EX92" s="21">
        <f>EXP(-LN(2)/2)*EX91+(1-EXP(-LN(2)/2))/(LN(2)/2)*ER92*EU92*VLOOKUP('Données projet'!$B$15,Paramètres!$A$1:$I$89,3,0)*0.475*44/12</f>
        <v>1.8936498175780309E-8</v>
      </c>
      <c r="EY92" s="22">
        <f t="shared" si="75"/>
        <v>3.2376018256732291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-1.1368683772161603E-12</v>
      </c>
      <c r="FF92" s="17">
        <f>FE92*VLOOKUP('Données projet'!$B$16,Paramètres!$A$1:$I$89,3,0)*VLOOKUP('Données projet'!$B$16,Paramètres!$A$1:$I$89,5,0)</f>
        <v>-5.4683368944097316E-13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252.30925789500111</v>
      </c>
      <c r="FK92" s="59">
        <f t="shared" si="102"/>
        <v>213.96033794804805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1.4399900439055573</v>
      </c>
      <c r="FR92" s="21">
        <f>EXP(-LN(2)/25)*FR91+(1-EXP(-LN(2)/25))/(LN(2)/25)*Calculateur!FM92*Calculateur!FO92*VLOOKUP('Données projet'!$B$16,Paramètres!$A$1:$I$89,3,0)*0.475*44/12</f>
        <v>1.7976117628311736</v>
      </c>
      <c r="FS92" s="21">
        <f>EXP(-LN(2)/2)*FS91+(1-EXP(-LN(2)/2))/(LN(2)/2)*FM92*FP92*VLOOKUP('Données projet'!$B$16,Paramètres!$A$1:$I$89,3,0)*0.475*44/12</f>
        <v>1.8936498175780309E-8</v>
      </c>
      <c r="FT92" s="22">
        <f t="shared" si="78"/>
        <v>3.2376018256732291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117.54638373164624</v>
      </c>
      <c r="GF92" s="59">
        <f t="shared" si="104"/>
        <v>133.0740262536583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0.68769077206847884</v>
      </c>
      <c r="GM92" s="21">
        <f>EXP(-LN(2)/25)*GM91+(1-EXP(-LN(2)/25))/(LN(2)/25)*Calculateur!GH92*Calculateur!GJ92*VLOOKUP('Données projet'!$B$17,Paramètres!$A$1:$I$89,3,0)*0.475*44/12</f>
        <v>1.686032130744878</v>
      </c>
      <c r="GN92" s="21">
        <f>EXP(-LN(2)/2)*GN91+(1-EXP(-LN(2)/2))/(LN(2)/2)*GH92*GK92*VLOOKUP('Données projet'!$B$17,Paramètres!$A$1:$I$89,3,0)*0.475*44/12</f>
        <v>5.3283133943624229E-9</v>
      </c>
      <c r="GO92" s="21">
        <f t="shared" si="81"/>
        <v>2.3737229081416702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2.8421709430404007E-14</v>
      </c>
      <c r="GV92" s="17">
        <f>GU92*VLOOKUP('Données projet'!$B$18,Paramètres!$A$1:$I$89,3,0)*VLOOKUP('Données projet'!$B$18,Paramètres!$A$1:$I$89,5,0)</f>
        <v>1.3567387213697657E-14</v>
      </c>
      <c r="GW92" s="13">
        <f t="shared" si="105"/>
        <v>2.5717320947985821E-13</v>
      </c>
      <c r="GX92" s="20">
        <f t="shared" si="82"/>
        <v>4.7153987257460977E-13</v>
      </c>
      <c r="GY92" s="59">
        <f t="shared" si="83"/>
        <v>293.33333333333377</v>
      </c>
      <c r="GZ92" s="59">
        <f ca="1">AVERAGE(OFFSET($GY$3,0,0,'Données projet'!$E$18+1,1))-AVERAGE(OFFSET($H$3,0,0,'Données projet'!$E$18+1,1))</f>
        <v>43.147469606759159</v>
      </c>
      <c r="HA92" s="59">
        <f t="shared" si="106"/>
        <v>147.46995307968473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11.20985141963048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7.2595240895157726E-10</v>
      </c>
      <c r="HJ92" s="22">
        <f t="shared" si="84"/>
        <v>11.209851420356433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221</v>
      </c>
      <c r="L93" s="12">
        <f>VLOOKUP(A93,'Données projet'!$A$35:$I$55,9,0)</f>
        <v>4.3</v>
      </c>
      <c r="M93" s="12">
        <f t="array" ref="M93">INDEX(L:L,MIN(IF(ISNUMBER(L93:L289),ROW(L93:L289),"")))</f>
        <v>4.3</v>
      </c>
      <c r="N93" s="13">
        <f>IF('Données projet'!$A$36&gt;35,N92+M93-V92,IF(A93&lt;'Données projet'!$A$36,$K$205^A93,IF(A93='Données projet'!$A$36,'Données projet'!$B$36,N92+M93-V92)))</f>
        <v>221.00000000000009</v>
      </c>
      <c r="O93" s="13">
        <f>N93*VLOOKUP('Données projet'!$B$9,Paramètres!$A$1:$I$89,3,0)*VLOOKUP('Données projet'!$B$9,Paramètres!$A$1:$I$89,5,0)</f>
        <v>199.96080000000006</v>
      </c>
      <c r="P93" s="13">
        <f t="shared" si="87"/>
        <v>49.735552653569265</v>
      </c>
      <c r="Q93" s="20">
        <f t="shared" si="54"/>
        <v>434.88781420496662</v>
      </c>
      <c r="R93" s="59">
        <f t="shared" si="55"/>
        <v>728.22114753829987</v>
      </c>
      <c r="S93" s="59">
        <f ca="1">AVERAGE(OFFSET($R$3,0,0,'Données projet'!$E$9+1,1))-AVERAGE(OFFSET($H$3,0,0,'Données projet'!$E$9+1,1))</f>
        <v>138.8931001150624</v>
      </c>
      <c r="T93" s="59">
        <f t="shared" si="88"/>
        <v>48.964659354096625</v>
      </c>
      <c r="U93" s="15">
        <f>IF(ISNA(VLOOKUP(A93,'Données projet'!$A$35:$I$55,3,0)),0,VLOOKUP(A93,'Données projet'!$A$35:$I$55,3,0))</f>
        <v>6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225</v>
      </c>
      <c r="AG93" s="12">
        <f>VLOOKUP(A93,'Données projet'!$A$61:$I$81,9,0)</f>
        <v>2.5</v>
      </c>
      <c r="AH93" s="12">
        <f t="array" ref="AH93">INDEX(AG:AG,MIN(IF(ISNUMBER(AG93:AG289),ROW(AG93:AG289),"")))</f>
        <v>2.5</v>
      </c>
      <c r="AI93" s="13">
        <f>IF('Données projet'!$A$62&gt;35,AI92+AH93-AQ92,IF(A93&lt;'Données projet'!$A$62,$AF$205^A93,IF(A93='Données projet'!$A$62,'Données projet'!$B$62,AI92+AH93-AQ92)))</f>
        <v>224.99999999999991</v>
      </c>
      <c r="AJ93" s="13">
        <f>AI93*VLOOKUP('Données projet'!$B$10,Paramètres!$A$1:$I$89,3,0)*VLOOKUP('Données projet'!$B$10,Paramètres!$A$1:$I$89,5,0)</f>
        <v>196.55999999999995</v>
      </c>
      <c r="AK93" s="13">
        <f t="shared" si="89"/>
        <v>48.987398161128091</v>
      </c>
      <c r="AL93" s="20">
        <f t="shared" si="58"/>
        <v>427.66171846396463</v>
      </c>
      <c r="AM93" s="59">
        <f t="shared" si="59"/>
        <v>720.99505179729795</v>
      </c>
      <c r="AN93" s="59">
        <f ca="1">AVERAGE(OFFSET($AM$3,0,0,'Données projet'!$E$10+1,1))-AVERAGE(OFFSET($H$3,0,0,'Données projet'!$E$10+1,1))</f>
        <v>191.94797389630673</v>
      </c>
      <c r="AO93" s="59">
        <f t="shared" si="90"/>
        <v>273.52540822767878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225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2.661626909107325</v>
      </c>
      <c r="AW93" s="21">
        <f>EXP(-LN(2)/2)*AW92+(1-EXP(-LN(2)/2))/(LN(2)/2)*AQ93*AT93*VLOOKUP('Données projet'!$B$10,Paramètres!$A$1:$I$89,3,0)*0.475*44/12</f>
        <v>2.1609536297311424E-8</v>
      </c>
      <c r="AX93" s="21">
        <f t="shared" si="60"/>
        <v>3.4462633453720604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3.5470293369144201E-14</v>
      </c>
      <c r="BF93" s="13">
        <f t="shared" si="91"/>
        <v>6.0119115841663204E-13</v>
      </c>
      <c r="BG93" s="20">
        <f t="shared" si="61"/>
        <v>1.1088520285268936E-12</v>
      </c>
      <c r="BH93" s="59">
        <f t="shared" si="62"/>
        <v>293.33333333333445</v>
      </c>
      <c r="BI93" s="59">
        <f ca="1">AVERAGE(OFFSET($BH$3,0,0,'Données projet'!$E$11+1,1))-AVERAGE(OFFSET($H$3,0,0,'Données projet'!$E$11+1,1))</f>
        <v>162.91481796710048</v>
      </c>
      <c r="BJ93" s="59">
        <f t="shared" si="92"/>
        <v>182.56192390367823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0.84761923263577299</v>
      </c>
      <c r="BQ93" s="21">
        <f>EXP(-LN(2)/25)*BQ92+(1-EXP(-LN(2)/25))/(LN(2)/25)*Calculateur!BL93*Calculateur!BN93*VLOOKUP('Données projet'!$B$11,Paramètres!$A$1:$I$89,3,0)*0.475*44/12</f>
        <v>2.8947529713139701</v>
      </c>
      <c r="BR93" s="21">
        <f>EXP(-LN(2)/2)*BR92+(1-EXP(-LN(2)/2))/(LN(2)/2)*BL93*BO93*VLOOKUP('Données projet'!$B$11,Paramètres!$A$1:$I$89,3,0)*0.475*44/12</f>
        <v>1.6735601616704298E-8</v>
      </c>
      <c r="BS93" s="22">
        <f t="shared" si="63"/>
        <v>3.7423722206853447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371.2</v>
      </c>
      <c r="BW93" s="12">
        <f>VLOOKUP(A93,'Données projet'!$A$113:$I$133,9,0)</f>
        <v>8.3000000000000007</v>
      </c>
      <c r="BX93" s="12">
        <f t="array" ref="BX93">INDEX(BW:BW,MIN(IF(ISNUMBER(BW93:BW289),ROW(BW93:BW289),"")))</f>
        <v>8.3000000000000007</v>
      </c>
      <c r="BY93" s="12">
        <f>IF('Données projet'!$A$114&gt;35,BY92+BX93-CG92,IF(A93&lt;'Données projet'!$A$114,$BV$205^A93,IF(A93='Données projet'!$A$114,'Données projet'!$B$114,BY92+BX93-CG92)))</f>
        <v>371.19999999999993</v>
      </c>
      <c r="BZ93" s="13">
        <f>BY93*VLOOKUP('Données projet'!$B$12,Paramètres!$A$1:$I$89,3,0)*VLOOKUP('Données projet'!$B$12,Paramètres!$A$1:$I$89,5,0)</f>
        <v>173.72159999999997</v>
      </c>
      <c r="CA93" s="13">
        <f t="shared" si="93"/>
        <v>43.922484755075111</v>
      </c>
      <c r="CB93" s="20">
        <f t="shared" si="64"/>
        <v>379.06344761508905</v>
      </c>
      <c r="CC93" s="59">
        <f t="shared" si="65"/>
        <v>672.39678094842236</v>
      </c>
      <c r="CD93" s="59">
        <f ca="1">AVERAGE(OFFSET($CC$3,0,0,'Données projet'!$E$12+1,1))-AVERAGE(OFFSET($H$3,0,0,'Données projet'!$E$12+1,1))</f>
        <v>123.60520571614535</v>
      </c>
      <c r="CE93" s="59">
        <f t="shared" si="94"/>
        <v>119.00926870519527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46.3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0.26431340803396786</v>
      </c>
      <c r="CL93" s="21">
        <f>EXP(-LN(2)/25)*CL92+(1-EXP(-LN(2)/25))/(LN(2)/25)*Calculateur!CG93*Calculateur!CI93*VLOOKUP('Données projet'!$B$12,Paramètres!$A$1:$I$89,3,0)*0.475*44/12</f>
        <v>0.90502644285768552</v>
      </c>
      <c r="CM93" s="21">
        <f>EXP(-LN(2)/2)*CM92+(1-EXP(-LN(2)/2))/(LN(2)/2)*CG93*CJ93*VLOOKUP('Données projet'!$B$12,Paramètres!$A$1:$I$89,3,0)*0.475*44/12</f>
        <v>5.6938365950086578E-9</v>
      </c>
      <c r="CN93" s="22">
        <f t="shared" si="66"/>
        <v>1.16933985658549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221.00000000000009</v>
      </c>
      <c r="CU93" s="17">
        <f>CT93*VLOOKUP('Données projet'!$B$13,Paramètres!$A$1:$I$89,3,0)*VLOOKUP('Données projet'!$B$13,Paramètres!$A$1:$I$89,5,0)</f>
        <v>230.98920000000012</v>
      </c>
      <c r="CV93" s="13">
        <f t="shared" si="95"/>
        <v>56.496516245657276</v>
      </c>
      <c r="CW93" s="20">
        <f t="shared" si="67"/>
        <v>500.7042891278532</v>
      </c>
      <c r="CX93" s="59">
        <f t="shared" si="68"/>
        <v>794.03762246118652</v>
      </c>
      <c r="CY93" s="59">
        <f ca="1">AVERAGE(OFFSET($CX$3,0,0,'Données projet'!$E$13+1,1))-AVERAGE(OFFSET($H$3,0,0,'Données projet'!$E$13+1,1))</f>
        <v>177.94336949486529</v>
      </c>
      <c r="CZ93" s="59">
        <f t="shared" si="96"/>
        <v>65.559373432574603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3.3992364478763198E-14</v>
      </c>
      <c r="DQ93" s="13">
        <f t="shared" si="97"/>
        <v>5.790027782444094E-13</v>
      </c>
      <c r="DR93" s="20">
        <f t="shared" si="70"/>
        <v>1.0676332069095257E-12</v>
      </c>
      <c r="DS93" s="59">
        <f t="shared" si="71"/>
        <v>293.33333333333439</v>
      </c>
      <c r="DT93" s="59">
        <f ca="1">AVERAGE(OFFSET($DS$3,0,0,'Données projet'!$E$14+1,1))-AVERAGE(OFFSET($H$3,0,0,'Données projet'!$E$14+1,1))</f>
        <v>165.39579887388538</v>
      </c>
      <c r="DU93" s="59">
        <f t="shared" si="98"/>
        <v>155.89639262545802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1.3810537056814305</v>
      </c>
      <c r="EC93" s="21">
        <f>EXP(-LN(2)/2)*EC92+(1-EXP(-LN(2)/2))/(LN(2)/2)*DW93*DZ93*VLOOKUP('Données projet'!$B$14,Paramètres!$A$1:$I$89,3,0)*0.475*44/12</f>
        <v>1.2926790616826109E-8</v>
      </c>
      <c r="ED93" s="22">
        <f t="shared" si="72"/>
        <v>1.381053718608221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-1.1368683772161603E-12</v>
      </c>
      <c r="EK93" s="17">
        <f>EJ93*VLOOKUP('Données projet'!$B$15,Paramètres!$A$1:$I$89,3,0)*VLOOKUP('Données projet'!$B$15,Paramètres!$A$1:$I$89,5,0)</f>
        <v>-5.4683368944097316E-13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252.30925789500111</v>
      </c>
      <c r="EP93" s="59">
        <f t="shared" si="100"/>
        <v>213.96033794804805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1.4117527174517706</v>
      </c>
      <c r="EW93" s="21">
        <f>EXP(-LN(2)/25)*EW92+(1-EXP(-LN(2)/25))/(LN(2)/25)*Calculateur!ER93*Calculateur!ET93*VLOOKUP('Données projet'!$B$15,Paramètres!$A$1:$I$89,3,0)*0.475*44/12</f>
        <v>1.7484559746442612</v>
      </c>
      <c r="EX93" s="21">
        <f>EXP(-LN(2)/2)*EX92+(1-EXP(-LN(2)/2))/(LN(2)/2)*ER93*EU93*VLOOKUP('Données projet'!$B$15,Paramètres!$A$1:$I$89,3,0)*0.475*44/12</f>
        <v>1.3390126272020943E-8</v>
      </c>
      <c r="EY93" s="22">
        <f t="shared" si="75"/>
        <v>3.1602087054861583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-1.1368683772161603E-12</v>
      </c>
      <c r="FF93" s="17">
        <f>FE93*VLOOKUP('Données projet'!$B$16,Paramètres!$A$1:$I$89,3,0)*VLOOKUP('Données projet'!$B$16,Paramètres!$A$1:$I$89,5,0)</f>
        <v>-5.4683368944097316E-13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252.30925789500111</v>
      </c>
      <c r="FK93" s="59">
        <f t="shared" si="102"/>
        <v>213.96033794804805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1.4117527174517706</v>
      </c>
      <c r="FR93" s="21">
        <f>EXP(-LN(2)/25)*FR92+(1-EXP(-LN(2)/25))/(LN(2)/25)*Calculateur!FM93*Calculateur!FO93*VLOOKUP('Données projet'!$B$16,Paramètres!$A$1:$I$89,3,0)*0.475*44/12</f>
        <v>1.7484559746442612</v>
      </c>
      <c r="FS93" s="21">
        <f>EXP(-LN(2)/2)*FS92+(1-EXP(-LN(2)/2))/(LN(2)/2)*FM93*FP93*VLOOKUP('Données projet'!$B$16,Paramètres!$A$1:$I$89,3,0)*0.475*44/12</f>
        <v>1.3390126272020943E-8</v>
      </c>
      <c r="FT93" s="22">
        <f t="shared" si="78"/>
        <v>3.1602087054861583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117.54638373164624</v>
      </c>
      <c r="GF93" s="59">
        <f t="shared" si="104"/>
        <v>133.0740262536583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0.67420557547816973</v>
      </c>
      <c r="GM93" s="21">
        <f>EXP(-LN(2)/25)*GM92+(1-EXP(-LN(2)/25))/(LN(2)/25)*Calculateur!GH93*Calculateur!GJ93*VLOOKUP('Données projet'!$B$17,Paramètres!$A$1:$I$89,3,0)*0.475*44/12</f>
        <v>1.6399274934650832</v>
      </c>
      <c r="GN93" s="21">
        <f>EXP(-LN(2)/2)*GN92+(1-EXP(-LN(2)/2))/(LN(2)/2)*GH93*GK93*VLOOKUP('Données projet'!$B$17,Paramètres!$A$1:$I$89,3,0)*0.475*44/12</f>
        <v>3.7676865334407801E-9</v>
      </c>
      <c r="GO93" s="21">
        <f t="shared" si="81"/>
        <v>2.3141330727109395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2.8421709430404007E-14</v>
      </c>
      <c r="GV93" s="17">
        <f>GU93*VLOOKUP('Données projet'!$B$18,Paramètres!$A$1:$I$89,3,0)*VLOOKUP('Données projet'!$B$18,Paramètres!$A$1:$I$89,5,0)</f>
        <v>1.3567387213697657E-14</v>
      </c>
      <c r="GW93" s="13">
        <f t="shared" si="105"/>
        <v>2.5717320947985821E-13</v>
      </c>
      <c r="GX93" s="20">
        <f t="shared" si="82"/>
        <v>4.7153987257460977E-13</v>
      </c>
      <c r="GY93" s="59">
        <f t="shared" si="83"/>
        <v>293.33333333333377</v>
      </c>
      <c r="GZ93" s="59">
        <f ca="1">AVERAGE(OFFSET($GY$3,0,0,'Données projet'!$E$18+1,1))-AVERAGE(OFFSET($H$3,0,0,'Données projet'!$E$18+1,1))</f>
        <v>43.147469606759159</v>
      </c>
      <c r="HA93" s="59">
        <f t="shared" si="106"/>
        <v>147.46995307968473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10.990033070625762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5.1332587118836999E-10</v>
      </c>
      <c r="HJ93" s="22">
        <f t="shared" si="84"/>
        <v>10.990033071139088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3.7</v>
      </c>
      <c r="N94" s="13">
        <f>IF('Données projet'!$A$36&gt;35,N93+M94-V93,IF(A94&lt;'Données projet'!$A$36,$K$205^A94,IF(A94='Données projet'!$A$36,'Données projet'!$B$36,N93+M94-V93)))</f>
        <v>196.70000000000007</v>
      </c>
      <c r="O94" s="13">
        <f>N94*VLOOKUP('Données projet'!$B$9,Paramètres!$A$1:$I$89,3,0)*VLOOKUP('Données projet'!$B$9,Paramètres!$A$1:$I$89,5,0)</f>
        <v>177.97416000000007</v>
      </c>
      <c r="P94" s="13">
        <f t="shared" si="87"/>
        <v>44.871177620414102</v>
      </c>
      <c r="Q94" s="20">
        <f t="shared" si="54"/>
        <v>388.12229635555462</v>
      </c>
      <c r="R94" s="59">
        <f t="shared" si="55"/>
        <v>681.45562968888794</v>
      </c>
      <c r="S94" s="59">
        <f ca="1">AVERAGE(OFFSET($R$3,0,0,'Données projet'!$E$9+1,1))-AVERAGE(OFFSET($H$3,0,0,'Données projet'!$E$9+1,1))</f>
        <v>138.8931001150624</v>
      </c>
      <c r="T94" s="59">
        <f t="shared" si="88"/>
        <v>48.964659354096625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-7.4487616075202836E-14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191.94797389630673</v>
      </c>
      <c r="AO94" s="59">
        <f t="shared" si="90"/>
        <v>273.52540822767878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2.5888445813089094</v>
      </c>
      <c r="AW94" s="21">
        <f>EXP(-LN(2)/2)*AW93+(1-EXP(-LN(2)/2))/(LN(2)/2)*AQ94*AT94*VLOOKUP('Données projet'!$B$10,Paramètres!$A$1:$I$89,3,0)*0.475*44/12</f>
        <v>1.5280249654125745E-8</v>
      </c>
      <c r="AX94" s="21">
        <f t="shared" si="60"/>
        <v>3.3580947697339263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3.5470293369144201E-14</v>
      </c>
      <c r="BF94" s="13">
        <f t="shared" si="91"/>
        <v>6.0119115841663204E-13</v>
      </c>
      <c r="BG94" s="20">
        <f t="shared" si="61"/>
        <v>1.1088520285268936E-12</v>
      </c>
      <c r="BH94" s="59">
        <f t="shared" si="62"/>
        <v>293.33333333333445</v>
      </c>
      <c r="BI94" s="59">
        <f ca="1">AVERAGE(OFFSET($BH$3,0,0,'Données projet'!$E$11+1,1))-AVERAGE(OFFSET($H$3,0,0,'Données projet'!$E$11+1,1))</f>
        <v>162.91481796710048</v>
      </c>
      <c r="BJ94" s="59">
        <f t="shared" si="92"/>
        <v>182.56192390367823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0.83099793648046816</v>
      </c>
      <c r="BQ94" s="21">
        <f>EXP(-LN(2)/25)*BQ93+(1-EXP(-LN(2)/25))/(LN(2)/25)*Calculateur!BL94*Calculateur!BN94*VLOOKUP('Données projet'!$B$11,Paramètres!$A$1:$I$89,3,0)*0.475*44/12</f>
        <v>2.8155957990849467</v>
      </c>
      <c r="BR94" s="21">
        <f>EXP(-LN(2)/2)*BR93+(1-EXP(-LN(2)/2))/(LN(2)/2)*BL94*BO94*VLOOKUP('Données projet'!$B$11,Paramètres!$A$1:$I$89,3,0)*0.475*44/12</f>
        <v>1.1833857390408157E-8</v>
      </c>
      <c r="BS94" s="22">
        <f t="shared" si="63"/>
        <v>3.6465937473992724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8.3000000000000007</v>
      </c>
      <c r="BY94" s="12">
        <f>IF('Données projet'!$A$114&gt;35,BY93+BX94-CG93,IF(A94&lt;'Données projet'!$A$114,$BV$205^A94,IF(A94='Données projet'!$A$114,'Données projet'!$B$114,BY93+BX94-CG93)))</f>
        <v>333.19999999999993</v>
      </c>
      <c r="BZ94" s="13">
        <f>BY94*VLOOKUP('Données projet'!$B$12,Paramètres!$A$1:$I$89,3,0)*VLOOKUP('Données projet'!$B$12,Paramètres!$A$1:$I$89,5,0)</f>
        <v>155.93759999999997</v>
      </c>
      <c r="CA94" s="13">
        <f t="shared" si="93"/>
        <v>39.924862785906342</v>
      </c>
      <c r="CB94" s="20">
        <f t="shared" si="64"/>
        <v>341.12712268545346</v>
      </c>
      <c r="CC94" s="59">
        <f t="shared" si="65"/>
        <v>634.46045601878677</v>
      </c>
      <c r="CD94" s="59">
        <f ca="1">AVERAGE(OFFSET($CC$3,0,0,'Données projet'!$E$12+1,1))-AVERAGE(OFFSET($H$3,0,0,'Données projet'!$E$12+1,1))</f>
        <v>123.60520571614535</v>
      </c>
      <c r="CE94" s="59">
        <f t="shared" si="94"/>
        <v>119.00926870519527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0.25913038331768196</v>
      </c>
      <c r="CL94" s="21">
        <f>EXP(-LN(2)/25)*CL93+(1-EXP(-LN(2)/25))/(LN(2)/25)*Calculateur!CG94*Calculateur!CI94*VLOOKUP('Données projet'!$B$12,Paramètres!$A$1:$I$89,3,0)*0.475*44/12</f>
        <v>0.8802784471844699</v>
      </c>
      <c r="CM94" s="21">
        <f>EXP(-LN(2)/2)*CM93+(1-EXP(-LN(2)/2))/(LN(2)/2)*CG94*CJ94*VLOOKUP('Données projet'!$B$12,Paramètres!$A$1:$I$89,3,0)*0.475*44/12</f>
        <v>4.0261504672987437E-9</v>
      </c>
      <c r="CN94" s="22">
        <f t="shared" si="66"/>
        <v>1.1394088345283024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196.70000000000007</v>
      </c>
      <c r="CU94" s="17">
        <f>CT94*VLOOKUP('Données projet'!$B$13,Paramètres!$A$1:$I$89,3,0)*VLOOKUP('Données projet'!$B$13,Paramètres!$A$1:$I$89,5,0)</f>
        <v>205.59084000000007</v>
      </c>
      <c r="CV94" s="13">
        <f t="shared" si="95"/>
        <v>50.970886622118798</v>
      </c>
      <c r="CW94" s="20">
        <f t="shared" si="67"/>
        <v>446.84500720019031</v>
      </c>
      <c r="CX94" s="59">
        <f t="shared" si="68"/>
        <v>740.17834053352362</v>
      </c>
      <c r="CY94" s="59">
        <f ca="1">AVERAGE(OFFSET($CX$3,0,0,'Données projet'!$E$13+1,1))-AVERAGE(OFFSET($H$3,0,0,'Données projet'!$E$13+1,1))</f>
        <v>177.94336949486529</v>
      </c>
      <c r="CZ94" s="59">
        <f t="shared" si="96"/>
        <v>65.559373432574603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3.3992364478763198E-14</v>
      </c>
      <c r="DQ94" s="13">
        <f t="shared" si="97"/>
        <v>5.790027782444094E-13</v>
      </c>
      <c r="DR94" s="20">
        <f t="shared" si="70"/>
        <v>1.0676332069095257E-12</v>
      </c>
      <c r="DS94" s="59">
        <f t="shared" si="71"/>
        <v>293.33333333333439</v>
      </c>
      <c r="DT94" s="59">
        <f ca="1">AVERAGE(OFFSET($DS$3,0,0,'Données projet'!$E$14+1,1))-AVERAGE(OFFSET($H$3,0,0,'Données projet'!$E$14+1,1))</f>
        <v>165.39579887388538</v>
      </c>
      <c r="DU94" s="59">
        <f t="shared" si="98"/>
        <v>155.89639262545802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1.3432887194731138</v>
      </c>
      <c r="EC94" s="21">
        <f>EXP(-LN(2)/2)*EC93+(1-EXP(-LN(2)/2))/(LN(2)/2)*DW94*DZ94*VLOOKUP('Données projet'!$B$14,Paramètres!$A$1:$I$89,3,0)*0.475*44/12</f>
        <v>9.1406213041363752E-9</v>
      </c>
      <c r="ED94" s="22">
        <f t="shared" si="72"/>
        <v>1.3432887286137352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-1.1368683772161603E-12</v>
      </c>
      <c r="EK94" s="17">
        <f>EJ94*VLOOKUP('Données projet'!$B$15,Paramètres!$A$1:$I$89,3,0)*VLOOKUP('Données projet'!$B$15,Paramètres!$A$1:$I$89,5,0)</f>
        <v>-5.4683368944097316E-13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252.30925789500111</v>
      </c>
      <c r="EP94" s="59">
        <f t="shared" si="100"/>
        <v>213.96033794804805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1.384069107746674</v>
      </c>
      <c r="EW94" s="21">
        <f>EXP(-LN(2)/25)*EW93+(1-EXP(-LN(2)/25))/(LN(2)/25)*Calculateur!ER94*Calculateur!ET94*VLOOKUP('Données projet'!$B$15,Paramètres!$A$1:$I$89,3,0)*0.475*44/12</f>
        <v>1.7006443540703102</v>
      </c>
      <c r="EX94" s="21">
        <f>EXP(-LN(2)/2)*EX93+(1-EXP(-LN(2)/2))/(LN(2)/2)*ER94*EU94*VLOOKUP('Données projet'!$B$15,Paramètres!$A$1:$I$89,3,0)*0.475*44/12</f>
        <v>9.4682490878901544E-9</v>
      </c>
      <c r="EY94" s="22">
        <f t="shared" si="75"/>
        <v>3.0847134712852338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-1.1368683772161603E-12</v>
      </c>
      <c r="FF94" s="17">
        <f>FE94*VLOOKUP('Données projet'!$B$16,Paramètres!$A$1:$I$89,3,0)*VLOOKUP('Données projet'!$B$16,Paramètres!$A$1:$I$89,5,0)</f>
        <v>-5.4683368944097316E-13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252.30925789500111</v>
      </c>
      <c r="FK94" s="59">
        <f t="shared" si="102"/>
        <v>213.96033794804805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1.384069107746674</v>
      </c>
      <c r="FR94" s="21">
        <f>EXP(-LN(2)/25)*FR93+(1-EXP(-LN(2)/25))/(LN(2)/25)*Calculateur!FM94*Calculateur!FO94*VLOOKUP('Données projet'!$B$16,Paramètres!$A$1:$I$89,3,0)*0.475*44/12</f>
        <v>1.7006443540703102</v>
      </c>
      <c r="FS94" s="21">
        <f>EXP(-LN(2)/2)*FS93+(1-EXP(-LN(2)/2))/(LN(2)/2)*FM94*FP94*VLOOKUP('Données projet'!$B$16,Paramètres!$A$1:$I$89,3,0)*0.475*44/12</f>
        <v>9.4682490878901544E-9</v>
      </c>
      <c r="FT94" s="22">
        <f t="shared" si="78"/>
        <v>3.0847134712852338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117.54638373164624</v>
      </c>
      <c r="GF94" s="59">
        <f t="shared" si="104"/>
        <v>133.0740262536583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0.66098481536783882</v>
      </c>
      <c r="GM94" s="21">
        <f>EXP(-LN(2)/25)*GM93+(1-EXP(-LN(2)/25))/(LN(2)/25)*Calculateur!GH94*Calculateur!GJ94*VLOOKUP('Données projet'!$B$17,Paramètres!$A$1:$I$89,3,0)*0.475*44/12</f>
        <v>1.5950835899162417</v>
      </c>
      <c r="GN94" s="21">
        <f>EXP(-LN(2)/2)*GN93+(1-EXP(-LN(2)/2))/(LN(2)/2)*GH94*GK94*VLOOKUP('Données projet'!$B$17,Paramètres!$A$1:$I$89,3,0)*0.475*44/12</f>
        <v>2.6641566971812115E-9</v>
      </c>
      <c r="GO94" s="21">
        <f t="shared" si="81"/>
        <v>2.2560684079482374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2.8421709430404007E-14</v>
      </c>
      <c r="GV94" s="17">
        <f>GU94*VLOOKUP('Données projet'!$B$18,Paramètres!$A$1:$I$89,3,0)*VLOOKUP('Données projet'!$B$18,Paramètres!$A$1:$I$89,5,0)</f>
        <v>1.3567387213697657E-14</v>
      </c>
      <c r="GW94" s="13">
        <f t="shared" si="105"/>
        <v>2.5717320947985821E-13</v>
      </c>
      <c r="GX94" s="20">
        <f t="shared" si="82"/>
        <v>4.7153987257460977E-13</v>
      </c>
      <c r="GY94" s="59">
        <f t="shared" si="83"/>
        <v>293.33333333333377</v>
      </c>
      <c r="GZ94" s="59">
        <f ca="1">AVERAGE(OFFSET($GY$3,0,0,'Données projet'!$E$18+1,1))-AVERAGE(OFFSET($H$3,0,0,'Données projet'!$E$18+1,1))</f>
        <v>43.147469606759159</v>
      </c>
      <c r="HA94" s="59">
        <f t="shared" si="106"/>
        <v>147.46995307968473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10.774525225369072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3.6297620447578863E-10</v>
      </c>
      <c r="HJ94" s="22">
        <f t="shared" si="84"/>
        <v>10.774525225732047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3.7</v>
      </c>
      <c r="N95" s="13">
        <f>IF('Données projet'!$A$36&gt;35,N94+M95-V94,IF(A95&lt;'Données projet'!$A$36,$K$205^A95,IF(A95='Données projet'!$A$36,'Données projet'!$B$36,N94+M95-V94)))</f>
        <v>200.40000000000006</v>
      </c>
      <c r="O95" s="13">
        <f>N95*VLOOKUP('Données projet'!$B$9,Paramètres!$A$1:$I$89,3,0)*VLOOKUP('Données projet'!$B$9,Paramètres!$A$1:$I$89,5,0)</f>
        <v>181.32192000000006</v>
      </c>
      <c r="P95" s="13">
        <f t="shared" si="87"/>
        <v>45.616163648177974</v>
      </c>
      <c r="Q95" s="20">
        <f t="shared" si="54"/>
        <v>395.25049568724336</v>
      </c>
      <c r="R95" s="59">
        <f t="shared" si="55"/>
        <v>688.58382902057667</v>
      </c>
      <c r="S95" s="59">
        <f ca="1">AVERAGE(OFFSET($R$3,0,0,'Données projet'!$E$9+1,1))-AVERAGE(OFFSET($H$3,0,0,'Données projet'!$E$9+1,1))</f>
        <v>138.8931001150624</v>
      </c>
      <c r="T95" s="59">
        <f t="shared" si="88"/>
        <v>48.964659354096625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-7.4487616075202836E-14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191.94797389630673</v>
      </c>
      <c r="AO95" s="59">
        <f t="shared" si="90"/>
        <v>273.52540822767878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2.5180524900915975</v>
      </c>
      <c r="AW95" s="21">
        <f>EXP(-LN(2)/2)*AW94+(1-EXP(-LN(2)/2))/(LN(2)/2)*AQ95*AT95*VLOOKUP('Données projet'!$B$10,Paramètres!$A$1:$I$89,3,0)*0.475*44/12</f>
        <v>1.0804768148655712E-8</v>
      </c>
      <c r="AX95" s="21">
        <f t="shared" si="60"/>
        <v>3.2722181473420404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3.5470293369144201E-14</v>
      </c>
      <c r="BF95" s="13">
        <f t="shared" si="91"/>
        <v>6.0119115841663204E-13</v>
      </c>
      <c r="BG95" s="20">
        <f t="shared" si="61"/>
        <v>1.1088520285268936E-12</v>
      </c>
      <c r="BH95" s="59">
        <f t="shared" si="62"/>
        <v>293.33333333333445</v>
      </c>
      <c r="BI95" s="59">
        <f ca="1">AVERAGE(OFFSET($BH$3,0,0,'Données projet'!$E$11+1,1))-AVERAGE(OFFSET($H$3,0,0,'Données projet'!$E$11+1,1))</f>
        <v>162.91481796710048</v>
      </c>
      <c r="BJ95" s="59">
        <f t="shared" si="92"/>
        <v>182.56192390367823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0.81470257380477928</v>
      </c>
      <c r="BQ95" s="21">
        <f>EXP(-LN(2)/25)*BQ94+(1-EXP(-LN(2)/25))/(LN(2)/25)*Calculateur!BL95*Calculateur!BN95*VLOOKUP('Données projet'!$B$11,Paramètres!$A$1:$I$89,3,0)*0.475*44/12</f>
        <v>2.738603183893221</v>
      </c>
      <c r="BR95" s="21">
        <f>EXP(-LN(2)/2)*BR94+(1-EXP(-LN(2)/2))/(LN(2)/2)*BL95*BO95*VLOOKUP('Données projet'!$B$11,Paramètres!$A$1:$I$89,3,0)*0.475*44/12</f>
        <v>8.3678008083521488E-9</v>
      </c>
      <c r="BS95" s="22">
        <f t="shared" si="63"/>
        <v>3.553305766065801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8.3000000000000007</v>
      </c>
      <c r="BY95" s="12">
        <f>IF('Données projet'!$A$114&gt;35,BY94+BX95-CG94,IF(A95&lt;'Données projet'!$A$114,$BV$205^A95,IF(A95='Données projet'!$A$114,'Données projet'!$B$114,BY94+BX95-CG94)))</f>
        <v>341.49999999999994</v>
      </c>
      <c r="BZ95" s="13">
        <f>BY95*VLOOKUP('Données projet'!$B$12,Paramètres!$A$1:$I$89,3,0)*VLOOKUP('Données projet'!$B$12,Paramètres!$A$1:$I$89,5,0)</f>
        <v>159.82199999999997</v>
      </c>
      <c r="CA95" s="13">
        <f t="shared" si="93"/>
        <v>40.8023644092533</v>
      </c>
      <c r="CB95" s="20">
        <f t="shared" si="64"/>
        <v>349.42076801278273</v>
      </c>
      <c r="CC95" s="59">
        <f t="shared" si="65"/>
        <v>642.75410134611604</v>
      </c>
      <c r="CD95" s="59">
        <f ca="1">AVERAGE(OFFSET($CC$3,0,0,'Données projet'!$E$12+1,1))-AVERAGE(OFFSET($H$3,0,0,'Données projet'!$E$12+1,1))</f>
        <v>123.60520571614535</v>
      </c>
      <c r="CE95" s="59">
        <f t="shared" si="94"/>
        <v>119.00926870519527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0.2540489945547495</v>
      </c>
      <c r="CL95" s="21">
        <f>EXP(-LN(2)/25)*CL94+(1-EXP(-LN(2)/25))/(LN(2)/25)*Calculateur!CG95*Calculateur!CI95*VLOOKUP('Données projet'!$B$12,Paramètres!$A$1:$I$89,3,0)*0.475*44/12</f>
        <v>0.8562071867543789</v>
      </c>
      <c r="CM95" s="21">
        <f>EXP(-LN(2)/2)*CM94+(1-EXP(-LN(2)/2))/(LN(2)/2)*CG95*CJ95*VLOOKUP('Données projet'!$B$12,Paramètres!$A$1:$I$89,3,0)*0.475*44/12</f>
        <v>2.8469182975043289E-9</v>
      </c>
      <c r="CN95" s="22">
        <f t="shared" si="66"/>
        <v>1.1102561841560465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200.40000000000006</v>
      </c>
      <c r="CU95" s="17">
        <f>CT95*VLOOKUP('Données projet'!$B$13,Paramètres!$A$1:$I$89,3,0)*VLOOKUP('Données projet'!$B$13,Paramètres!$A$1:$I$89,5,0)</f>
        <v>209.45808000000011</v>
      </c>
      <c r="CV95" s="13">
        <f t="shared" si="95"/>
        <v>51.817144740803364</v>
      </c>
      <c r="CW95" s="20">
        <f t="shared" si="67"/>
        <v>455.0543497568994</v>
      </c>
      <c r="CX95" s="59">
        <f t="shared" si="68"/>
        <v>748.38768309023271</v>
      </c>
      <c r="CY95" s="59">
        <f ca="1">AVERAGE(OFFSET($CX$3,0,0,'Données projet'!$E$13+1,1))-AVERAGE(OFFSET($H$3,0,0,'Données projet'!$E$13+1,1))</f>
        <v>177.94336949486529</v>
      </c>
      <c r="CZ95" s="59">
        <f t="shared" si="96"/>
        <v>65.559373432574603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3.3992364478763198E-14</v>
      </c>
      <c r="DQ95" s="13">
        <f t="shared" si="97"/>
        <v>5.790027782444094E-13</v>
      </c>
      <c r="DR95" s="20">
        <f t="shared" si="70"/>
        <v>1.0676332069095257E-12</v>
      </c>
      <c r="DS95" s="59">
        <f t="shared" si="71"/>
        <v>293.33333333333439</v>
      </c>
      <c r="DT95" s="59">
        <f ca="1">AVERAGE(OFFSET($DS$3,0,0,'Données projet'!$E$14+1,1))-AVERAGE(OFFSET($H$3,0,0,'Données projet'!$E$14+1,1))</f>
        <v>165.39579887388538</v>
      </c>
      <c r="DU95" s="59">
        <f t="shared" si="98"/>
        <v>155.89639262545802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1.3065564187986378</v>
      </c>
      <c r="EC95" s="21">
        <f>EXP(-LN(2)/2)*EC94+(1-EXP(-LN(2)/2))/(LN(2)/2)*DW95*DZ95*VLOOKUP('Données projet'!$B$14,Paramètres!$A$1:$I$89,3,0)*0.475*44/12</f>
        <v>6.4633953084130546E-9</v>
      </c>
      <c r="ED95" s="22">
        <f t="shared" si="72"/>
        <v>1.3065564252620332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-1.1368683772161603E-12</v>
      </c>
      <c r="EK95" s="17">
        <f>EJ95*VLOOKUP('Données projet'!$B$15,Paramètres!$A$1:$I$89,3,0)*VLOOKUP('Données projet'!$B$15,Paramètres!$A$1:$I$89,5,0)</f>
        <v>-5.4683368944097316E-13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252.30925789500111</v>
      </c>
      <c r="EP95" s="59">
        <f t="shared" si="100"/>
        <v>213.96033794804805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1.3569283567425598</v>
      </c>
      <c r="EW95" s="21">
        <f>EXP(-LN(2)/25)*EW94+(1-EXP(-LN(2)/25))/(LN(2)/25)*Calculateur!ER95*Calculateur!ET95*VLOOKUP('Données projet'!$B$15,Paramètres!$A$1:$I$89,3,0)*0.475*44/12</f>
        <v>1.6541401447752579</v>
      </c>
      <c r="EX95" s="21">
        <f>EXP(-LN(2)/2)*EX94+(1-EXP(-LN(2)/2))/(LN(2)/2)*ER95*EU95*VLOOKUP('Données projet'!$B$15,Paramètres!$A$1:$I$89,3,0)*0.475*44/12</f>
        <v>6.6950631360104717E-9</v>
      </c>
      <c r="EY95" s="22">
        <f t="shared" si="75"/>
        <v>3.011068508212881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-1.1368683772161603E-12</v>
      </c>
      <c r="FF95" s="17">
        <f>FE95*VLOOKUP('Données projet'!$B$16,Paramètres!$A$1:$I$89,3,0)*VLOOKUP('Données projet'!$B$16,Paramètres!$A$1:$I$89,5,0)</f>
        <v>-5.4683368944097316E-13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252.30925789500111</v>
      </c>
      <c r="FK95" s="59">
        <f t="shared" si="102"/>
        <v>213.96033794804805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1.3569283567425598</v>
      </c>
      <c r="FR95" s="21">
        <f>EXP(-LN(2)/25)*FR94+(1-EXP(-LN(2)/25))/(LN(2)/25)*Calculateur!FM95*Calculateur!FO95*VLOOKUP('Données projet'!$B$16,Paramètres!$A$1:$I$89,3,0)*0.475*44/12</f>
        <v>1.6541401447752579</v>
      </c>
      <c r="FS95" s="21">
        <f>EXP(-LN(2)/2)*FS94+(1-EXP(-LN(2)/2))/(LN(2)/2)*FM95*FP95*VLOOKUP('Données projet'!$B$16,Paramètres!$A$1:$I$89,3,0)*0.475*44/12</f>
        <v>6.6950631360104717E-9</v>
      </c>
      <c r="FT95" s="22">
        <f t="shared" si="78"/>
        <v>3.011068508212881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117.54638373164624</v>
      </c>
      <c r="GF95" s="59">
        <f t="shared" si="104"/>
        <v>133.0740262536583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0.64802330629940408</v>
      </c>
      <c r="GM95" s="21">
        <f>EXP(-LN(2)/25)*GM94+(1-EXP(-LN(2)/25))/(LN(2)/25)*Calculateur!GH95*Calculateur!GJ95*VLOOKUP('Données projet'!$B$17,Paramètres!$A$1:$I$89,3,0)*0.475*44/12</f>
        <v>1.5514659452681816</v>
      </c>
      <c r="GN95" s="21">
        <f>EXP(-LN(2)/2)*GN94+(1-EXP(-LN(2)/2))/(LN(2)/2)*GH95*GK95*VLOOKUP('Données projet'!$B$17,Paramètres!$A$1:$I$89,3,0)*0.475*44/12</f>
        <v>1.88384326672039E-9</v>
      </c>
      <c r="GO95" s="21">
        <f t="shared" si="81"/>
        <v>2.199489253451429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2.8421709430404007E-14</v>
      </c>
      <c r="GV95" s="17">
        <f>GU95*VLOOKUP('Données projet'!$B$18,Paramètres!$A$1:$I$89,3,0)*VLOOKUP('Données projet'!$B$18,Paramètres!$A$1:$I$89,5,0)</f>
        <v>1.3567387213697657E-14</v>
      </c>
      <c r="GW95" s="13">
        <f t="shared" si="105"/>
        <v>2.5717320947985821E-13</v>
      </c>
      <c r="GX95" s="20">
        <f t="shared" si="82"/>
        <v>4.7153987257460977E-13</v>
      </c>
      <c r="GY95" s="59">
        <f t="shared" si="83"/>
        <v>293.33333333333377</v>
      </c>
      <c r="GZ95" s="59">
        <f ca="1">AVERAGE(OFFSET($GY$3,0,0,'Données projet'!$E$18+1,1))-AVERAGE(OFFSET($H$3,0,0,'Données projet'!$E$18+1,1))</f>
        <v>43.147469606759159</v>
      </c>
      <c r="HA95" s="59">
        <f t="shared" si="106"/>
        <v>147.46995307968473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10.563243357511059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2.56662935594185E-10</v>
      </c>
      <c r="HJ95" s="22">
        <f t="shared" si="84"/>
        <v>10.563243357767721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3.7</v>
      </c>
      <c r="N96" s="13">
        <f>IF('Données projet'!$A$36&gt;35,N95+M96-V95,IF(A96&lt;'Données projet'!$A$36,$K$205^A96,IF(A96='Données projet'!$A$36,'Données projet'!$B$36,N95+M96-V95)))</f>
        <v>204.10000000000005</v>
      </c>
      <c r="O96" s="13">
        <f>N96*VLOOKUP('Données projet'!$B$9,Paramètres!$A$1:$I$89,3,0)*VLOOKUP('Données projet'!$B$9,Paramètres!$A$1:$I$89,5,0)</f>
        <v>184.66968000000006</v>
      </c>
      <c r="P96" s="13">
        <f t="shared" si="87"/>
        <v>46.359550248246585</v>
      </c>
      <c r="Q96" s="20">
        <f t="shared" si="54"/>
        <v>402.37590934902954</v>
      </c>
      <c r="R96" s="59">
        <f t="shared" si="55"/>
        <v>695.70924268236286</v>
      </c>
      <c r="S96" s="59">
        <f ca="1">AVERAGE(OFFSET($R$3,0,0,'Données projet'!$E$9+1,1))-AVERAGE(OFFSET($H$3,0,0,'Données projet'!$E$9+1,1))</f>
        <v>138.8931001150624</v>
      </c>
      <c r="T96" s="59">
        <f t="shared" si="88"/>
        <v>48.964659354096625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-7.4487616075202836E-14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191.94797389630673</v>
      </c>
      <c r="AO96" s="59">
        <f t="shared" si="90"/>
        <v>273.52540822767878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2.4491962123314175</v>
      </c>
      <c r="AW96" s="21">
        <f>EXP(-LN(2)/2)*AW95+(1-EXP(-LN(2)/2))/(LN(2)/2)*AQ96*AT96*VLOOKUP('Données projet'!$B$10,Paramètres!$A$1:$I$89,3,0)*0.475*44/12</f>
        <v>7.6401248270628724E-9</v>
      </c>
      <c r="AX96" s="21">
        <f t="shared" si="60"/>
        <v>3.1885731380860411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3.5470293369144201E-14</v>
      </c>
      <c r="BF96" s="13">
        <f t="shared" si="91"/>
        <v>6.0119115841663204E-13</v>
      </c>
      <c r="BG96" s="20">
        <f t="shared" si="61"/>
        <v>1.1088520285268936E-12</v>
      </c>
      <c r="BH96" s="59">
        <f t="shared" si="62"/>
        <v>293.33333333333445</v>
      </c>
      <c r="BI96" s="59">
        <f ca="1">AVERAGE(OFFSET($BH$3,0,0,'Données projet'!$E$11+1,1))-AVERAGE(OFFSET($H$3,0,0,'Données projet'!$E$11+1,1))</f>
        <v>162.91481796710048</v>
      </c>
      <c r="BJ96" s="59">
        <f t="shared" si="92"/>
        <v>182.56192390367823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0.79872675325197084</v>
      </c>
      <c r="BQ96" s="21">
        <f>EXP(-LN(2)/25)*BQ95+(1-EXP(-LN(2)/25))/(LN(2)/25)*Calculateur!BL96*Calculateur!BN96*VLOOKUP('Données projet'!$B$11,Paramètres!$A$1:$I$89,3,0)*0.475*44/12</f>
        <v>2.6637159358127787</v>
      </c>
      <c r="BR96" s="21">
        <f>EXP(-LN(2)/2)*BR95+(1-EXP(-LN(2)/2))/(LN(2)/2)*BL96*BO96*VLOOKUP('Données projet'!$B$11,Paramètres!$A$1:$I$89,3,0)*0.475*44/12</f>
        <v>5.9169286952040785E-9</v>
      </c>
      <c r="BS96" s="22">
        <f t="shared" si="63"/>
        <v>3.4624426949816782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8.3000000000000007</v>
      </c>
      <c r="BY96" s="12">
        <f>IF('Données projet'!$A$114&gt;35,BY95+BX96-CG95,IF(A96&lt;'Données projet'!$A$114,$BV$205^A96,IF(A96='Données projet'!$A$114,'Données projet'!$B$114,BY95+BX96-CG95)))</f>
        <v>349.79999999999995</v>
      </c>
      <c r="BZ96" s="13">
        <f>BY96*VLOOKUP('Données projet'!$B$12,Paramètres!$A$1:$I$89,3,0)*VLOOKUP('Données projet'!$B$12,Paramètres!$A$1:$I$89,5,0)</f>
        <v>163.70639999999997</v>
      </c>
      <c r="CA96" s="13">
        <f t="shared" si="93"/>
        <v>41.677386788386073</v>
      </c>
      <c r="CB96" s="20">
        <f t="shared" si="64"/>
        <v>357.71009532310563</v>
      </c>
      <c r="CC96" s="59">
        <f t="shared" si="65"/>
        <v>651.04342865643889</v>
      </c>
      <c r="CD96" s="59">
        <f ca="1">AVERAGE(OFFSET($CC$3,0,0,'Données projet'!$E$12+1,1))-AVERAGE(OFFSET($H$3,0,0,'Données projet'!$E$12+1,1))</f>
        <v>123.60520571614535</v>
      </c>
      <c r="CE96" s="59">
        <f t="shared" si="94"/>
        <v>119.00926870519527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0.24906724872611705</v>
      </c>
      <c r="CL96" s="21">
        <f>EXP(-LN(2)/25)*CL95+(1-EXP(-LN(2)/25))/(LN(2)/25)*Calculateur!CG96*Calculateur!CI96*VLOOKUP('Données projet'!$B$12,Paramètres!$A$1:$I$89,3,0)*0.475*44/12</f>
        <v>0.83279415620660135</v>
      </c>
      <c r="CM96" s="21">
        <f>EXP(-LN(2)/2)*CM95+(1-EXP(-LN(2)/2))/(LN(2)/2)*CG96*CJ96*VLOOKUP('Données projet'!$B$12,Paramètres!$A$1:$I$89,3,0)*0.475*44/12</f>
        <v>2.0130752336493719E-9</v>
      </c>
      <c r="CN96" s="22">
        <f t="shared" si="66"/>
        <v>1.0818614069457937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204.10000000000005</v>
      </c>
      <c r="CU96" s="17">
        <f>CT96*VLOOKUP('Données projet'!$B$13,Paramètres!$A$1:$I$89,3,0)*VLOOKUP('Données projet'!$B$13,Paramètres!$A$1:$I$89,5,0)</f>
        <v>213.32532000000006</v>
      </c>
      <c r="CV96" s="13">
        <f t="shared" si="95"/>
        <v>52.661586008403646</v>
      </c>
      <c r="CW96" s="20">
        <f t="shared" si="67"/>
        <v>463.26052796463642</v>
      </c>
      <c r="CX96" s="59">
        <f t="shared" si="68"/>
        <v>756.59386129796974</v>
      </c>
      <c r="CY96" s="59">
        <f ca="1">AVERAGE(OFFSET($CX$3,0,0,'Données projet'!$E$13+1,1))-AVERAGE(OFFSET($H$3,0,0,'Données projet'!$E$13+1,1))</f>
        <v>177.94336949486529</v>
      </c>
      <c r="CZ96" s="59">
        <f t="shared" si="96"/>
        <v>65.559373432574603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3.3992364478763198E-14</v>
      </c>
      <c r="DQ96" s="13">
        <f t="shared" si="97"/>
        <v>5.790027782444094E-13</v>
      </c>
      <c r="DR96" s="20">
        <f t="shared" si="70"/>
        <v>1.0676332069095257E-12</v>
      </c>
      <c r="DS96" s="59">
        <f t="shared" si="71"/>
        <v>293.33333333333439</v>
      </c>
      <c r="DT96" s="59">
        <f ca="1">AVERAGE(OFFSET($DS$3,0,0,'Données projet'!$E$14+1,1))-AVERAGE(OFFSET($H$3,0,0,'Données projet'!$E$14+1,1))</f>
        <v>165.39579887388538</v>
      </c>
      <c r="DU96" s="59">
        <f t="shared" si="98"/>
        <v>155.89639262545802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1.2708285648177733</v>
      </c>
      <c r="EC96" s="21">
        <f>EXP(-LN(2)/2)*EC95+(1-EXP(-LN(2)/2))/(LN(2)/2)*DW96*DZ96*VLOOKUP('Données projet'!$B$14,Paramètres!$A$1:$I$89,3,0)*0.475*44/12</f>
        <v>4.5703106520681876E-9</v>
      </c>
      <c r="ED96" s="22">
        <f t="shared" si="72"/>
        <v>1.2708285693880839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-1.1368683772161603E-12</v>
      </c>
      <c r="EK96" s="17">
        <f>EJ96*VLOOKUP('Données projet'!$B$15,Paramètres!$A$1:$I$89,3,0)*VLOOKUP('Données projet'!$B$15,Paramètres!$A$1:$I$89,5,0)</f>
        <v>-5.4683368944097316E-13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252.30925789500111</v>
      </c>
      <c r="EP96" s="59">
        <f t="shared" si="100"/>
        <v>213.96033794804805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1.3303198193114127</v>
      </c>
      <c r="EW96" s="21">
        <f>EXP(-LN(2)/25)*EW95+(1-EXP(-LN(2)/25))/(LN(2)/25)*Calculateur!ER96*Calculateur!ET96*VLOOKUP('Données projet'!$B$15,Paramètres!$A$1:$I$89,3,0)*0.475*44/12</f>
        <v>1.6089075955289289</v>
      </c>
      <c r="EX96" s="21">
        <f>EXP(-LN(2)/2)*EX95+(1-EXP(-LN(2)/2))/(LN(2)/2)*ER96*EU96*VLOOKUP('Données projet'!$B$15,Paramètres!$A$1:$I$89,3,0)*0.475*44/12</f>
        <v>4.7341245439450772E-9</v>
      </c>
      <c r="EY96" s="22">
        <f t="shared" si="75"/>
        <v>2.9392274195744661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-1.1368683772161603E-12</v>
      </c>
      <c r="FF96" s="17">
        <f>FE96*VLOOKUP('Données projet'!$B$16,Paramètres!$A$1:$I$89,3,0)*VLOOKUP('Données projet'!$B$16,Paramètres!$A$1:$I$89,5,0)</f>
        <v>-5.4683368944097316E-13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252.30925789500111</v>
      </c>
      <c r="FK96" s="59">
        <f t="shared" si="102"/>
        <v>213.96033794804805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1.3303198193114127</v>
      </c>
      <c r="FR96" s="21">
        <f>EXP(-LN(2)/25)*FR95+(1-EXP(-LN(2)/25))/(LN(2)/25)*Calculateur!FM96*Calculateur!FO96*VLOOKUP('Données projet'!$B$16,Paramètres!$A$1:$I$89,3,0)*0.475*44/12</f>
        <v>1.6089075955289289</v>
      </c>
      <c r="FS96" s="21">
        <f>EXP(-LN(2)/2)*FS95+(1-EXP(-LN(2)/2))/(LN(2)/2)*FM96*FP96*VLOOKUP('Données projet'!$B$16,Paramètres!$A$1:$I$89,3,0)*0.475*44/12</f>
        <v>4.7341245439450772E-9</v>
      </c>
      <c r="FT96" s="22">
        <f t="shared" si="78"/>
        <v>2.9392274195744661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117.54638373164624</v>
      </c>
      <c r="GF96" s="59">
        <f t="shared" si="104"/>
        <v>133.0740262536583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0.63531596451806138</v>
      </c>
      <c r="GM96" s="21">
        <f>EXP(-LN(2)/25)*GM95+(1-EXP(-LN(2)/25))/(LN(2)/25)*Calculateur!GH96*Calculateur!GJ96*VLOOKUP('Données projet'!$B$17,Paramètres!$A$1:$I$89,3,0)*0.475*44/12</f>
        <v>1.5090410274067749</v>
      </c>
      <c r="GN96" s="21">
        <f>EXP(-LN(2)/2)*GN95+(1-EXP(-LN(2)/2))/(LN(2)/2)*GH96*GK96*VLOOKUP('Données projet'!$B$17,Paramètres!$A$1:$I$89,3,0)*0.475*44/12</f>
        <v>1.3320783485906057E-9</v>
      </c>
      <c r="GO96" s="21">
        <f t="shared" si="81"/>
        <v>2.1443569932569146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2.8421709430404007E-14</v>
      </c>
      <c r="GV96" s="17">
        <f>GU96*VLOOKUP('Données projet'!$B$18,Paramètres!$A$1:$I$89,3,0)*VLOOKUP('Données projet'!$B$18,Paramètres!$A$1:$I$89,5,0)</f>
        <v>1.3567387213697657E-14</v>
      </c>
      <c r="GW96" s="13">
        <f t="shared" si="105"/>
        <v>2.5717320947985821E-13</v>
      </c>
      <c r="GX96" s="20">
        <f t="shared" si="82"/>
        <v>4.7153987257460977E-13</v>
      </c>
      <c r="GY96" s="59">
        <f t="shared" si="83"/>
        <v>293.33333333333377</v>
      </c>
      <c r="GZ96" s="59">
        <f ca="1">AVERAGE(OFFSET($GY$3,0,0,'Données projet'!$E$18+1,1))-AVERAGE(OFFSET($H$3,0,0,'Données projet'!$E$18+1,1))</f>
        <v>43.147469606759159</v>
      </c>
      <c r="HA96" s="59">
        <f t="shared" si="106"/>
        <v>147.46995307968473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10.356104598212527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1.8148810223789431E-10</v>
      </c>
      <c r="HJ96" s="22">
        <f t="shared" si="84"/>
        <v>10.356104598394015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3.7</v>
      </c>
      <c r="N97" s="13">
        <f>IF('Données projet'!$A$36&gt;35,N96+M97-V96,IF(A97&lt;'Données projet'!$A$36,$K$205^A97,IF(A97='Données projet'!$A$36,'Données projet'!$B$36,N96+M97-V96)))</f>
        <v>207.80000000000004</v>
      </c>
      <c r="O97" s="13">
        <f>N97*VLOOKUP('Données projet'!$B$9,Paramètres!$A$1:$I$89,3,0)*VLOOKUP('Données projet'!$B$9,Paramètres!$A$1:$I$89,5,0)</f>
        <v>188.01744000000002</v>
      </c>
      <c r="P97" s="13">
        <f t="shared" si="87"/>
        <v>47.101369760097391</v>
      </c>
      <c r="Q97" s="20">
        <f t="shared" si="54"/>
        <v>409.49859366550299</v>
      </c>
      <c r="R97" s="59">
        <f t="shared" si="55"/>
        <v>702.83192699883625</v>
      </c>
      <c r="S97" s="59">
        <f ca="1">AVERAGE(OFFSET($R$3,0,0,'Données projet'!$E$9+1,1))-AVERAGE(OFFSET($H$3,0,0,'Données projet'!$E$9+1,1))</f>
        <v>138.8931001150624</v>
      </c>
      <c r="T97" s="59">
        <f t="shared" si="88"/>
        <v>48.964659354096625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-7.4487616075202836E-14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191.94797389630673</v>
      </c>
      <c r="AO97" s="59">
        <f t="shared" si="90"/>
        <v>273.52540822767878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2.382222813107584</v>
      </c>
      <c r="AW97" s="21">
        <f>EXP(-LN(2)/2)*AW96+(1-EXP(-LN(2)/2))/(LN(2)/2)*AQ97*AT97*VLOOKUP('Données projet'!$B$10,Paramètres!$A$1:$I$89,3,0)*0.475*44/12</f>
        <v>5.402384074327856E-9</v>
      </c>
      <c r="AX97" s="21">
        <f t="shared" si="60"/>
        <v>3.1071010062356312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3.5470293369144201E-14</v>
      </c>
      <c r="BF97" s="13">
        <f t="shared" si="91"/>
        <v>6.0119115841663204E-13</v>
      </c>
      <c r="BG97" s="20">
        <f t="shared" si="61"/>
        <v>1.1088520285268936E-12</v>
      </c>
      <c r="BH97" s="59">
        <f t="shared" si="62"/>
        <v>293.33333333333445</v>
      </c>
      <c r="BI97" s="59">
        <f ca="1">AVERAGE(OFFSET($BH$3,0,0,'Données projet'!$E$11+1,1))-AVERAGE(OFFSET($H$3,0,0,'Données projet'!$E$11+1,1))</f>
        <v>162.91481796710048</v>
      </c>
      <c r="BJ97" s="59">
        <f t="shared" si="92"/>
        <v>182.56192390367823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0.78306420879591465</v>
      </c>
      <c r="BQ97" s="21">
        <f>EXP(-LN(2)/25)*BQ96+(1-EXP(-LN(2)/25))/(LN(2)/25)*Calculateur!BL97*Calculateur!BN97*VLOOKUP('Données projet'!$B$11,Paramètres!$A$1:$I$89,3,0)*0.475*44/12</f>
        <v>2.5908764834692453</v>
      </c>
      <c r="BR97" s="21">
        <f>EXP(-LN(2)/2)*BR96+(1-EXP(-LN(2)/2))/(LN(2)/2)*BL97*BO97*VLOOKUP('Données projet'!$B$11,Paramètres!$A$1:$I$89,3,0)*0.475*44/12</f>
        <v>4.1839004041760744E-9</v>
      </c>
      <c r="BS97" s="22">
        <f t="shared" si="63"/>
        <v>3.3739406964490604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8.3000000000000007</v>
      </c>
      <c r="BY97" s="12">
        <f>IF('Données projet'!$A$114&gt;35,BY96+BX97-CG96,IF(A97&lt;'Données projet'!$A$114,$BV$205^A97,IF(A97='Données projet'!$A$114,'Données projet'!$B$114,BY96+BX97-CG96)))</f>
        <v>358.09999999999997</v>
      </c>
      <c r="BZ97" s="13">
        <f>BY97*VLOOKUP('Données projet'!$B$12,Paramètres!$A$1:$I$89,3,0)*VLOOKUP('Données projet'!$B$12,Paramètres!$A$1:$I$89,5,0)</f>
        <v>167.5908</v>
      </c>
      <c r="CA97" s="13">
        <f t="shared" si="93"/>
        <v>42.549995519736676</v>
      </c>
      <c r="CB97" s="20">
        <f t="shared" si="64"/>
        <v>365.99521886354137</v>
      </c>
      <c r="CC97" s="59">
        <f t="shared" si="65"/>
        <v>659.32855219687463</v>
      </c>
      <c r="CD97" s="59">
        <f ca="1">AVERAGE(OFFSET($CC$3,0,0,'Données projet'!$E$12+1,1))-AVERAGE(OFFSET($H$3,0,0,'Données projet'!$E$12+1,1))</f>
        <v>123.60520571614535</v>
      </c>
      <c r="CE97" s="59">
        <f t="shared" si="94"/>
        <v>119.00926870519527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0.24418319189461915</v>
      </c>
      <c r="CL97" s="21">
        <f>EXP(-LN(2)/25)*CL96+(1-EXP(-LN(2)/25))/(LN(2)/25)*Calculateur!CG97*Calculateur!CI97*VLOOKUP('Données projet'!$B$12,Paramètres!$A$1:$I$89,3,0)*0.475*44/12</f>
        <v>0.81002135621039051</v>
      </c>
      <c r="CM97" s="21">
        <f>EXP(-LN(2)/2)*CM96+(1-EXP(-LN(2)/2))/(LN(2)/2)*CG97*CJ97*VLOOKUP('Données projet'!$B$12,Paramètres!$A$1:$I$89,3,0)*0.475*44/12</f>
        <v>1.4234591487521644E-9</v>
      </c>
      <c r="CN97" s="22">
        <f t="shared" si="66"/>
        <v>1.0542045495284689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207.80000000000004</v>
      </c>
      <c r="CU97" s="17">
        <f>CT97*VLOOKUP('Données projet'!$B$13,Paramètres!$A$1:$I$89,3,0)*VLOOKUP('Données projet'!$B$13,Paramètres!$A$1:$I$89,5,0)</f>
        <v>217.19256000000004</v>
      </c>
      <c r="CV97" s="13">
        <f t="shared" si="95"/>
        <v>53.504247160568738</v>
      </c>
      <c r="CW97" s="20">
        <f t="shared" si="67"/>
        <v>471.46360580465716</v>
      </c>
      <c r="CX97" s="59">
        <f t="shared" si="68"/>
        <v>764.79693913799042</v>
      </c>
      <c r="CY97" s="59">
        <f ca="1">AVERAGE(OFFSET($CX$3,0,0,'Données projet'!$E$13+1,1))-AVERAGE(OFFSET($H$3,0,0,'Données projet'!$E$13+1,1))</f>
        <v>177.94336949486529</v>
      </c>
      <c r="CZ97" s="59">
        <f t="shared" si="96"/>
        <v>65.559373432574603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3.3992364478763198E-14</v>
      </c>
      <c r="DQ97" s="13">
        <f t="shared" si="97"/>
        <v>5.790027782444094E-13</v>
      </c>
      <c r="DR97" s="20">
        <f t="shared" si="70"/>
        <v>1.0676332069095257E-12</v>
      </c>
      <c r="DS97" s="59">
        <f t="shared" si="71"/>
        <v>293.33333333333439</v>
      </c>
      <c r="DT97" s="59">
        <f ca="1">AVERAGE(OFFSET($DS$3,0,0,'Données projet'!$E$14+1,1))-AVERAGE(OFFSET($H$3,0,0,'Données projet'!$E$14+1,1))</f>
        <v>165.39579887388538</v>
      </c>
      <c r="DU97" s="59">
        <f t="shared" si="98"/>
        <v>155.89639262545802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1.2360776908828617</v>
      </c>
      <c r="EC97" s="21">
        <f>EXP(-LN(2)/2)*EC96+(1-EXP(-LN(2)/2))/(LN(2)/2)*DW97*DZ97*VLOOKUP('Données projet'!$B$14,Paramètres!$A$1:$I$89,3,0)*0.475*44/12</f>
        <v>3.2316976542065273E-9</v>
      </c>
      <c r="ED97" s="22">
        <f t="shared" si="72"/>
        <v>1.2360776941145593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-1.1368683772161603E-12</v>
      </c>
      <c r="EK97" s="17">
        <f>EJ97*VLOOKUP('Données projet'!$B$15,Paramètres!$A$1:$I$89,3,0)*VLOOKUP('Données projet'!$B$15,Paramètres!$A$1:$I$89,5,0)</f>
        <v>-5.4683368944097316E-13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252.30925789500111</v>
      </c>
      <c r="EP97" s="59">
        <f t="shared" si="100"/>
        <v>213.96033794804805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1.3042330590696851</v>
      </c>
      <c r="EW97" s="21">
        <f>EXP(-LN(2)/25)*EW96+(1-EXP(-LN(2)/25))/(LN(2)/25)*Calculateur!ER97*Calculateur!ET97*VLOOKUP('Données projet'!$B$15,Paramètres!$A$1:$I$89,3,0)*0.475*44/12</f>
        <v>1.5649119327204171</v>
      </c>
      <c r="EX97" s="21">
        <f>EXP(-LN(2)/2)*EX96+(1-EXP(-LN(2)/2))/(LN(2)/2)*ER97*EU97*VLOOKUP('Données projet'!$B$15,Paramètres!$A$1:$I$89,3,0)*0.475*44/12</f>
        <v>3.3475315680052358E-9</v>
      </c>
      <c r="EY97" s="22">
        <f t="shared" si="75"/>
        <v>2.8691449951376335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-1.1368683772161603E-12</v>
      </c>
      <c r="FF97" s="17">
        <f>FE97*VLOOKUP('Données projet'!$B$16,Paramètres!$A$1:$I$89,3,0)*VLOOKUP('Données projet'!$B$16,Paramètres!$A$1:$I$89,5,0)</f>
        <v>-5.4683368944097316E-13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252.30925789500111</v>
      </c>
      <c r="FK97" s="59">
        <f t="shared" si="102"/>
        <v>213.96033794804805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1.3042330590696851</v>
      </c>
      <c r="FR97" s="21">
        <f>EXP(-LN(2)/25)*FR96+(1-EXP(-LN(2)/25))/(LN(2)/25)*Calculateur!FM97*Calculateur!FO97*VLOOKUP('Données projet'!$B$16,Paramètres!$A$1:$I$89,3,0)*0.475*44/12</f>
        <v>1.5649119327204171</v>
      </c>
      <c r="FS97" s="21">
        <f>EXP(-LN(2)/2)*FS96+(1-EXP(-LN(2)/2))/(LN(2)/2)*FM97*FP97*VLOOKUP('Données projet'!$B$16,Paramètres!$A$1:$I$89,3,0)*0.475*44/12</f>
        <v>3.3475315680052358E-9</v>
      </c>
      <c r="FT97" s="22">
        <f t="shared" si="78"/>
        <v>2.8691449951376335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117.54638373164624</v>
      </c>
      <c r="GF97" s="59">
        <f t="shared" si="104"/>
        <v>133.0740262536583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0.62285780595833762</v>
      </c>
      <c r="GM97" s="21">
        <f>EXP(-LN(2)/25)*GM96+(1-EXP(-LN(2)/25))/(LN(2)/25)*Calculateur!GH97*Calculateur!GJ97*VLOOKUP('Données projet'!$B$17,Paramètres!$A$1:$I$89,3,0)*0.475*44/12</f>
        <v>1.467776221155318</v>
      </c>
      <c r="GN97" s="21">
        <f>EXP(-LN(2)/2)*GN96+(1-EXP(-LN(2)/2))/(LN(2)/2)*GH97*GK97*VLOOKUP('Données projet'!$B$17,Paramètres!$A$1:$I$89,3,0)*0.475*44/12</f>
        <v>9.4192163336019502E-10</v>
      </c>
      <c r="GO97" s="21">
        <f t="shared" si="81"/>
        <v>2.0906340280555775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2.8421709430404007E-14</v>
      </c>
      <c r="GV97" s="17">
        <f>GU97*VLOOKUP('Données projet'!$B$18,Paramètres!$A$1:$I$89,3,0)*VLOOKUP('Données projet'!$B$18,Paramètres!$A$1:$I$89,5,0)</f>
        <v>1.3567387213697657E-14</v>
      </c>
      <c r="GW97" s="13">
        <f t="shared" si="105"/>
        <v>2.5717320947985821E-13</v>
      </c>
      <c r="GX97" s="20">
        <f t="shared" si="82"/>
        <v>4.7153987257460977E-13</v>
      </c>
      <c r="GY97" s="59">
        <f t="shared" si="83"/>
        <v>293.33333333333377</v>
      </c>
      <c r="GZ97" s="59">
        <f ca="1">AVERAGE(OFFSET($GY$3,0,0,'Données projet'!$E$18+1,1))-AVERAGE(OFFSET($H$3,0,0,'Données projet'!$E$18+1,1))</f>
        <v>43.147469606759159</v>
      </c>
      <c r="HA97" s="59">
        <f t="shared" si="106"/>
        <v>147.46995307968473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10.153027703641671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1.283314677970925E-10</v>
      </c>
      <c r="HJ97" s="22">
        <f t="shared" si="84"/>
        <v>10.153027703770002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3.7</v>
      </c>
      <c r="N98" s="13">
        <f>IF('Données projet'!$A$36&gt;35,N97+M98-V97,IF(A98&lt;'Données projet'!$A$36,$K$205^A98,IF(A98='Données projet'!$A$36,'Données projet'!$B$36,N97+M98-V97)))</f>
        <v>211.50000000000003</v>
      </c>
      <c r="O98" s="13">
        <f>N98*VLOOKUP('Données projet'!$B$9,Paramètres!$A$1:$I$89,3,0)*VLOOKUP('Données projet'!$B$9,Paramètres!$A$1:$I$89,5,0)</f>
        <v>191.36520000000002</v>
      </c>
      <c r="P98" s="13">
        <f t="shared" si="87"/>
        <v>47.841653305605021</v>
      </c>
      <c r="Q98" s="20">
        <f t="shared" si="54"/>
        <v>416.61860284059543</v>
      </c>
      <c r="R98" s="59">
        <f t="shared" si="55"/>
        <v>709.95193617392874</v>
      </c>
      <c r="S98" s="59">
        <f ca="1">AVERAGE(OFFSET($R$3,0,0,'Données projet'!$E$9+1,1))-AVERAGE(OFFSET($H$3,0,0,'Données projet'!$E$9+1,1))</f>
        <v>138.8931001150624</v>
      </c>
      <c r="T98" s="59">
        <f t="shared" si="88"/>
        <v>48.964659354096625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-7.4487616075202836E-14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191.94797389630673</v>
      </c>
      <c r="AO98" s="59">
        <f t="shared" si="90"/>
        <v>273.52540822767878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2.317080805007504</v>
      </c>
      <c r="AW98" s="21">
        <f>EXP(-LN(2)/2)*AW97+(1-EXP(-LN(2)/2))/(LN(2)/2)*AQ98*AT98*VLOOKUP('Données projet'!$B$10,Paramètres!$A$1:$I$89,3,0)*0.475*44/12</f>
        <v>3.8200624135314362E-9</v>
      </c>
      <c r="AX98" s="21">
        <f t="shared" si="60"/>
        <v>3.0277445774239671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3.5470293369144201E-14</v>
      </c>
      <c r="BF98" s="13">
        <f t="shared" si="91"/>
        <v>6.0119115841663204E-13</v>
      </c>
      <c r="BG98" s="20">
        <f t="shared" si="61"/>
        <v>1.1088520285268936E-12</v>
      </c>
      <c r="BH98" s="59">
        <f t="shared" si="62"/>
        <v>293.33333333333445</v>
      </c>
      <c r="BI98" s="59">
        <f ca="1">AVERAGE(OFFSET($BH$3,0,0,'Données projet'!$E$11+1,1))-AVERAGE(OFFSET($H$3,0,0,'Données projet'!$E$11+1,1))</f>
        <v>162.91481796710048</v>
      </c>
      <c r="BJ98" s="59">
        <f t="shared" si="92"/>
        <v>182.56192390367823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0.76770879728343289</v>
      </c>
      <c r="BQ98" s="21">
        <f>EXP(-LN(2)/25)*BQ97+(1-EXP(-LN(2)/25))/(LN(2)/25)*Calculateur!BL98*Calculateur!BN98*VLOOKUP('Données projet'!$B$11,Paramètres!$A$1:$I$89,3,0)*0.475*44/12</f>
        <v>2.520028829780506</v>
      </c>
      <c r="BR98" s="21">
        <f>EXP(-LN(2)/2)*BR97+(1-EXP(-LN(2)/2))/(LN(2)/2)*BL98*BO98*VLOOKUP('Données projet'!$B$11,Paramètres!$A$1:$I$89,3,0)*0.475*44/12</f>
        <v>2.9584643476020393E-9</v>
      </c>
      <c r="BS98" s="22">
        <f t="shared" si="63"/>
        <v>3.287737630022403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8.3000000000000007</v>
      </c>
      <c r="BY98" s="12">
        <f>IF('Données projet'!$A$114&gt;35,BY97+BX98-CG97,IF(A98&lt;'Données projet'!$A$114,$BV$205^A98,IF(A98='Données projet'!$A$114,'Données projet'!$B$114,BY97+BX98-CG97)))</f>
        <v>366.4</v>
      </c>
      <c r="BZ98" s="13">
        <f>BY98*VLOOKUP('Données projet'!$B$12,Paramètres!$A$1:$I$89,3,0)*VLOOKUP('Données projet'!$B$12,Paramètres!$A$1:$I$89,5,0)</f>
        <v>171.4752</v>
      </c>
      <c r="CA98" s="13">
        <f t="shared" si="93"/>
        <v>43.420252985462113</v>
      </c>
      <c r="CB98" s="20">
        <f t="shared" si="64"/>
        <v>374.27624728301316</v>
      </c>
      <c r="CC98" s="59">
        <f t="shared" si="65"/>
        <v>667.60958061634642</v>
      </c>
      <c r="CD98" s="59">
        <f ca="1">AVERAGE(OFFSET($CC$3,0,0,'Données projet'!$E$12+1,1))-AVERAGE(OFFSET($H$3,0,0,'Données projet'!$E$12+1,1))</f>
        <v>123.60520571614535</v>
      </c>
      <c r="CE98" s="59">
        <f t="shared" si="94"/>
        <v>119.00926870519527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0.23939490843860642</v>
      </c>
      <c r="CL98" s="21">
        <f>EXP(-LN(2)/25)*CL97+(1-EXP(-LN(2)/25))/(LN(2)/25)*Calculateur!CG98*Calculateur!CI98*VLOOKUP('Données projet'!$B$12,Paramètres!$A$1:$I$89,3,0)*0.475*44/12</f>
        <v>0.78787127962764558</v>
      </c>
      <c r="CM98" s="21">
        <f>EXP(-LN(2)/2)*CM97+(1-EXP(-LN(2)/2))/(LN(2)/2)*CG98*CJ98*VLOOKUP('Données projet'!$B$12,Paramètres!$A$1:$I$89,3,0)*0.475*44/12</f>
        <v>1.0065376168246859E-9</v>
      </c>
      <c r="CN98" s="22">
        <f t="shared" si="66"/>
        <v>1.0272661890727894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211.50000000000003</v>
      </c>
      <c r="CU98" s="17">
        <f>CT98*VLOOKUP('Données projet'!$B$13,Paramètres!$A$1:$I$89,3,0)*VLOOKUP('Données projet'!$B$13,Paramètres!$A$1:$I$89,5,0)</f>
        <v>221.05980000000008</v>
      </c>
      <c r="CV98" s="13">
        <f t="shared" si="95"/>
        <v>54.345163549826218</v>
      </c>
      <c r="CW98" s="20">
        <f t="shared" si="67"/>
        <v>479.66364484928073</v>
      </c>
      <c r="CX98" s="59">
        <f t="shared" si="68"/>
        <v>772.99697818261404</v>
      </c>
      <c r="CY98" s="59">
        <f ca="1">AVERAGE(OFFSET($CX$3,0,0,'Données projet'!$E$13+1,1))-AVERAGE(OFFSET($H$3,0,0,'Données projet'!$E$13+1,1))</f>
        <v>177.94336949486529</v>
      </c>
      <c r="CZ98" s="59">
        <f t="shared" si="96"/>
        <v>65.559373432574603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3.3992364478763198E-14</v>
      </c>
      <c r="DQ98" s="13">
        <f t="shared" si="97"/>
        <v>5.790027782444094E-13</v>
      </c>
      <c r="DR98" s="20">
        <f t="shared" si="70"/>
        <v>1.0676332069095257E-12</v>
      </c>
      <c r="DS98" s="59">
        <f t="shared" si="71"/>
        <v>293.33333333333439</v>
      </c>
      <c r="DT98" s="59">
        <f ca="1">AVERAGE(OFFSET($DS$3,0,0,'Données projet'!$E$14+1,1))-AVERAGE(OFFSET($H$3,0,0,'Données projet'!$E$14+1,1))</f>
        <v>165.39579887388538</v>
      </c>
      <c r="DU98" s="59">
        <f t="shared" si="98"/>
        <v>155.89639262545802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1.2022770814231691</v>
      </c>
      <c r="EC98" s="21">
        <f>EXP(-LN(2)/2)*EC97+(1-EXP(-LN(2)/2))/(LN(2)/2)*DW98*DZ98*VLOOKUP('Données projet'!$B$14,Paramètres!$A$1:$I$89,3,0)*0.475*44/12</f>
        <v>2.2851553260340938E-9</v>
      </c>
      <c r="ED98" s="22">
        <f t="shared" si="72"/>
        <v>1.2022770837083245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-1.1368683772161603E-12</v>
      </c>
      <c r="EK98" s="17">
        <f>EJ98*VLOOKUP('Données projet'!$B$15,Paramètres!$A$1:$I$89,3,0)*VLOOKUP('Données projet'!$B$15,Paramètres!$A$1:$I$89,5,0)</f>
        <v>-5.4683368944097316E-13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252.30925789500111</v>
      </c>
      <c r="EP98" s="59">
        <f t="shared" si="100"/>
        <v>213.96033794804805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1.2786578442849452</v>
      </c>
      <c r="EW98" s="21">
        <f>EXP(-LN(2)/25)*EW97+(1-EXP(-LN(2)/25))/(LN(2)/25)*Calculateur!ER98*Calculateur!ET98*VLOOKUP('Données projet'!$B$15,Paramètres!$A$1:$I$89,3,0)*0.475*44/12</f>
        <v>1.5221193336250354</v>
      </c>
      <c r="EX98" s="21">
        <f>EXP(-LN(2)/2)*EX97+(1-EXP(-LN(2)/2))/(LN(2)/2)*ER98*EU98*VLOOKUP('Données projet'!$B$15,Paramètres!$A$1:$I$89,3,0)*0.475*44/12</f>
        <v>2.3670622719725386E-9</v>
      </c>
      <c r="EY98" s="22">
        <f t="shared" si="75"/>
        <v>2.8007771802770427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-1.1368683772161603E-12</v>
      </c>
      <c r="FF98" s="17">
        <f>FE98*VLOOKUP('Données projet'!$B$16,Paramètres!$A$1:$I$89,3,0)*VLOOKUP('Données projet'!$B$16,Paramètres!$A$1:$I$89,5,0)</f>
        <v>-5.4683368944097316E-13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252.30925789500111</v>
      </c>
      <c r="FK98" s="59">
        <f t="shared" si="102"/>
        <v>213.96033794804805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1.2786578442849452</v>
      </c>
      <c r="FR98" s="21">
        <f>EXP(-LN(2)/25)*FR97+(1-EXP(-LN(2)/25))/(LN(2)/25)*Calculateur!FM98*Calculateur!FO98*VLOOKUP('Données projet'!$B$16,Paramètres!$A$1:$I$89,3,0)*0.475*44/12</f>
        <v>1.5221193336250354</v>
      </c>
      <c r="FS98" s="21">
        <f>EXP(-LN(2)/2)*FS97+(1-EXP(-LN(2)/2))/(LN(2)/2)*FM98*FP98*VLOOKUP('Données projet'!$B$16,Paramètres!$A$1:$I$89,3,0)*0.475*44/12</f>
        <v>2.3670622719725386E-9</v>
      </c>
      <c r="FT98" s="22">
        <f t="shared" si="78"/>
        <v>2.8007771802770427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117.54638373164624</v>
      </c>
      <c r="GF98" s="59">
        <f t="shared" si="104"/>
        <v>133.0740262536583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0.61064394428924362</v>
      </c>
      <c r="GM98" s="21">
        <f>EXP(-LN(2)/25)*GM97+(1-EXP(-LN(2)/25))/(LN(2)/25)*Calculateur!GH98*Calculateur!GJ98*VLOOKUP('Données projet'!$B$17,Paramètres!$A$1:$I$89,3,0)*0.475*44/12</f>
        <v>1.4276398032008291</v>
      </c>
      <c r="GN98" s="21">
        <f>EXP(-LN(2)/2)*GN97+(1-EXP(-LN(2)/2))/(LN(2)/2)*GH98*GK98*VLOOKUP('Données projet'!$B$17,Paramètres!$A$1:$I$89,3,0)*0.475*44/12</f>
        <v>6.6603917429530287E-10</v>
      </c>
      <c r="GO98" s="21">
        <f t="shared" si="81"/>
        <v>2.038283748156112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2.8421709430404007E-14</v>
      </c>
      <c r="GV98" s="17">
        <f>GU98*VLOOKUP('Données projet'!$B$18,Paramètres!$A$1:$I$89,3,0)*VLOOKUP('Données projet'!$B$18,Paramètres!$A$1:$I$89,5,0)</f>
        <v>1.3567387213697657E-14</v>
      </c>
      <c r="GW98" s="13">
        <f t="shared" si="105"/>
        <v>2.5717320947985821E-13</v>
      </c>
      <c r="GX98" s="20">
        <f t="shared" si="82"/>
        <v>4.7153987257460977E-13</v>
      </c>
      <c r="GY98" s="59">
        <f t="shared" si="83"/>
        <v>293.33333333333377</v>
      </c>
      <c r="GZ98" s="59">
        <f ca="1">AVERAGE(OFFSET($GY$3,0,0,'Données projet'!$E$18+1,1))-AVERAGE(OFFSET($H$3,0,0,'Données projet'!$E$18+1,1))</f>
        <v>43.147469606759159</v>
      </c>
      <c r="HA98" s="59">
        <f t="shared" si="106"/>
        <v>147.46995307968473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9.9539330231086751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9.0744051118947157E-11</v>
      </c>
      <c r="HJ98" s="22">
        <f t="shared" si="84"/>
        <v>9.9539330231994185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3.7</v>
      </c>
      <c r="N99" s="13">
        <f>IF('Données projet'!$A$36&gt;35,N98+M99-V98,IF(A99&lt;'Données projet'!$A$36,$K$205^A99,IF(A99='Données projet'!$A$36,'Données projet'!$B$36,N98+M99-V98)))</f>
        <v>215.20000000000002</v>
      </c>
      <c r="O99" s="13">
        <f>N99*VLOOKUP('Données projet'!$B$9,Paramètres!$A$1:$I$89,3,0)*VLOOKUP('Données projet'!$B$9,Paramètres!$A$1:$I$89,5,0)</f>
        <v>194.71296000000001</v>
      </c>
      <c r="P99" s="13">
        <f t="shared" si="87"/>
        <v>48.580430855369244</v>
      </c>
      <c r="Q99" s="20">
        <f t="shared" ref="Q99:Q130" si="107">(O99+P99)*0.475*44/12</f>
        <v>423.73598907310139</v>
      </c>
      <c r="R99" s="59">
        <f t="shared" si="55"/>
        <v>717.06932240643471</v>
      </c>
      <c r="S99" s="59">
        <f ca="1">AVERAGE(OFFSET($R$3,0,0,'Données projet'!$E$9+1,1))-AVERAGE(OFFSET($H$3,0,0,'Données projet'!$E$9+1,1))</f>
        <v>138.8931001150624</v>
      </c>
      <c r="T99" s="59">
        <f t="shared" si="88"/>
        <v>48.964659354096625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-7.4487616075202836E-14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191.94797389630673</v>
      </c>
      <c r="AO99" s="59">
        <f t="shared" si="90"/>
        <v>273.52540822767878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2.2537201085445902</v>
      </c>
      <c r="AW99" s="21">
        <f>EXP(-LN(2)/2)*AW98+(1-EXP(-LN(2)/2))/(LN(2)/2)*AQ99*AT99*VLOOKUP('Données projet'!$B$10,Paramètres!$A$1:$I$89,3,0)*0.475*44/12</f>
        <v>2.701192037163928E-9</v>
      </c>
      <c r="AX99" s="21">
        <f t="shared" si="60"/>
        <v>2.9504481968021055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3.5470293369144201E-14</v>
      </c>
      <c r="BF99" s="13">
        <f t="shared" si="91"/>
        <v>6.0119115841663204E-13</v>
      </c>
      <c r="BG99" s="20">
        <f t="shared" si="61"/>
        <v>1.1088520285268936E-12</v>
      </c>
      <c r="BH99" s="59">
        <f t="shared" si="62"/>
        <v>293.33333333333445</v>
      </c>
      <c r="BI99" s="59">
        <f ca="1">AVERAGE(OFFSET($BH$3,0,0,'Données projet'!$E$11+1,1))-AVERAGE(OFFSET($H$3,0,0,'Données projet'!$E$11+1,1))</f>
        <v>162.91481796710048</v>
      </c>
      <c r="BJ99" s="59">
        <f t="shared" si="92"/>
        <v>182.56192390367823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0.7526544960248347</v>
      </c>
      <c r="BQ99" s="21">
        <f>EXP(-LN(2)/25)*BQ98+(1-EXP(-LN(2)/25))/(LN(2)/25)*Calculateur!BL99*Calculateur!BN99*VLOOKUP('Données projet'!$B$11,Paramètres!$A$1:$I$89,3,0)*0.475*44/12</f>
        <v>2.4511185089076015</v>
      </c>
      <c r="BR99" s="21">
        <f>EXP(-LN(2)/2)*BR98+(1-EXP(-LN(2)/2))/(LN(2)/2)*BL99*BO99*VLOOKUP('Données projet'!$B$11,Paramètres!$A$1:$I$89,3,0)*0.475*44/12</f>
        <v>2.0919502020880372E-9</v>
      </c>
      <c r="BS99" s="22">
        <f t="shared" si="63"/>
        <v>3.2037730070243864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8.3000000000000007</v>
      </c>
      <c r="BY99" s="12">
        <f>IF('Données projet'!$A$114&gt;35,BY98+BX99-CG98,IF(A99&lt;'Données projet'!$A$114,$BV$205^A99,IF(A99='Données projet'!$A$114,'Données projet'!$B$114,BY98+BX99-CG98)))</f>
        <v>374.7</v>
      </c>
      <c r="BZ99" s="13">
        <f>BY99*VLOOKUP('Données projet'!$B$12,Paramètres!$A$1:$I$89,3,0)*VLOOKUP('Données projet'!$B$12,Paramètres!$A$1:$I$89,5,0)</f>
        <v>175.3596</v>
      </c>
      <c r="CA99" s="13">
        <f t="shared" si="93"/>
        <v>44.288218580135805</v>
      </c>
      <c r="CB99" s="20">
        <f t="shared" si="64"/>
        <v>382.55328402706982</v>
      </c>
      <c r="CC99" s="59">
        <f t="shared" si="65"/>
        <v>675.88661736040308</v>
      </c>
      <c r="CD99" s="59">
        <f ca="1">AVERAGE(OFFSET($CC$3,0,0,'Données projet'!$E$12+1,1))-AVERAGE(OFFSET($H$3,0,0,'Données projet'!$E$12+1,1))</f>
        <v>123.60520571614535</v>
      </c>
      <c r="CE99" s="59">
        <f t="shared" si="94"/>
        <v>119.00926870519527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0.23470052030060157</v>
      </c>
      <c r="CL99" s="21">
        <f>EXP(-LN(2)/25)*CL98+(1-EXP(-LN(2)/25))/(LN(2)/25)*Calculateur!CG99*Calculateur!CI99*VLOOKUP('Données projet'!$B$12,Paramètres!$A$1:$I$89,3,0)*0.475*44/12</f>
        <v>0.76632689805387777</v>
      </c>
      <c r="CM99" s="21">
        <f>EXP(-LN(2)/2)*CM98+(1-EXP(-LN(2)/2))/(LN(2)/2)*CG99*CJ99*VLOOKUP('Données projet'!$B$12,Paramètres!$A$1:$I$89,3,0)*0.475*44/12</f>
        <v>7.1172957437608222E-10</v>
      </c>
      <c r="CN99" s="22">
        <f t="shared" si="66"/>
        <v>1.001027419066209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215.20000000000002</v>
      </c>
      <c r="CU99" s="17">
        <f>CT99*VLOOKUP('Données projet'!$B$13,Paramètres!$A$1:$I$89,3,0)*VLOOKUP('Données projet'!$B$13,Paramètres!$A$1:$I$89,5,0)</f>
        <v>224.92704000000006</v>
      </c>
      <c r="CV99" s="13">
        <f t="shared" si="95"/>
        <v>55.184369220926527</v>
      </c>
      <c r="CW99" s="20">
        <f t="shared" si="67"/>
        <v>487.86070439311379</v>
      </c>
      <c r="CX99" s="59">
        <f t="shared" si="68"/>
        <v>781.19403772644705</v>
      </c>
      <c r="CY99" s="59">
        <f ca="1">AVERAGE(OFFSET($CX$3,0,0,'Données projet'!$E$13+1,1))-AVERAGE(OFFSET($H$3,0,0,'Données projet'!$E$13+1,1))</f>
        <v>177.94336949486529</v>
      </c>
      <c r="CZ99" s="59">
        <f t="shared" si="96"/>
        <v>65.559373432574603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3.3992364478763198E-14</v>
      </c>
      <c r="DQ99" s="13">
        <f t="shared" si="97"/>
        <v>5.790027782444094E-13</v>
      </c>
      <c r="DR99" s="20">
        <f t="shared" si="70"/>
        <v>1.0676332069095257E-12</v>
      </c>
      <c r="DS99" s="59">
        <f t="shared" si="71"/>
        <v>293.33333333333439</v>
      </c>
      <c r="DT99" s="59">
        <f ca="1">AVERAGE(OFFSET($DS$3,0,0,'Données projet'!$E$14+1,1))-AVERAGE(OFFSET($H$3,0,0,'Données projet'!$E$14+1,1))</f>
        <v>165.39579887388538</v>
      </c>
      <c r="DU99" s="59">
        <f t="shared" si="98"/>
        <v>155.89639262545802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1.1694007514066487</v>
      </c>
      <c r="EC99" s="21">
        <f>EXP(-LN(2)/2)*EC98+(1-EXP(-LN(2)/2))/(LN(2)/2)*DW99*DZ99*VLOOKUP('Données projet'!$B$14,Paramètres!$A$1:$I$89,3,0)*0.475*44/12</f>
        <v>1.6158488271032637E-9</v>
      </c>
      <c r="ED99" s="22">
        <f t="shared" si="72"/>
        <v>1.1694007530224975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-1.1368683772161603E-12</v>
      </c>
      <c r="EK99" s="17">
        <f>EJ99*VLOOKUP('Données projet'!$B$15,Paramètres!$A$1:$I$89,3,0)*VLOOKUP('Données projet'!$B$15,Paramètres!$A$1:$I$89,5,0)</f>
        <v>-5.4683368944097316E-13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252.30925789500111</v>
      </c>
      <c r="EP99" s="59">
        <f t="shared" si="100"/>
        <v>213.96033794804805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1.2535841438627933</v>
      </c>
      <c r="EW99" s="21">
        <f>EXP(-LN(2)/25)*EW98+(1-EXP(-LN(2)/25))/(LN(2)/25)*Calculateur!ER99*Calculateur!ET99*VLOOKUP('Données projet'!$B$15,Paramètres!$A$1:$I$89,3,0)*0.475*44/12</f>
        <v>1.4804969004022819</v>
      </c>
      <c r="EX99" s="21">
        <f>EXP(-LN(2)/2)*EX98+(1-EXP(-LN(2)/2))/(LN(2)/2)*ER99*EU99*VLOOKUP('Données projet'!$B$15,Paramètres!$A$1:$I$89,3,0)*0.475*44/12</f>
        <v>1.6737657840026179E-9</v>
      </c>
      <c r="EY99" s="22">
        <f t="shared" si="75"/>
        <v>2.7340810459388405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-1.1368683772161603E-12</v>
      </c>
      <c r="FF99" s="17">
        <f>FE99*VLOOKUP('Données projet'!$B$16,Paramètres!$A$1:$I$89,3,0)*VLOOKUP('Données projet'!$B$16,Paramètres!$A$1:$I$89,5,0)</f>
        <v>-5.4683368944097316E-13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252.30925789500111</v>
      </c>
      <c r="FK99" s="59">
        <f t="shared" si="102"/>
        <v>213.96033794804805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1.2535841438627933</v>
      </c>
      <c r="FR99" s="21">
        <f>EXP(-LN(2)/25)*FR98+(1-EXP(-LN(2)/25))/(LN(2)/25)*Calculateur!FM99*Calculateur!FO99*VLOOKUP('Données projet'!$B$16,Paramètres!$A$1:$I$89,3,0)*0.475*44/12</f>
        <v>1.4804969004022819</v>
      </c>
      <c r="FS99" s="21">
        <f>EXP(-LN(2)/2)*FS98+(1-EXP(-LN(2)/2))/(LN(2)/2)*FM99*FP99*VLOOKUP('Données projet'!$B$16,Paramètres!$A$1:$I$89,3,0)*0.475*44/12</f>
        <v>1.6737657840026179E-9</v>
      </c>
      <c r="FT99" s="22">
        <f t="shared" si="78"/>
        <v>2.7340810459388405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117.54638373164624</v>
      </c>
      <c r="GF99" s="59">
        <f t="shared" si="104"/>
        <v>133.0740262536583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0.59866958899776057</v>
      </c>
      <c r="GM99" s="21">
        <f>EXP(-LN(2)/25)*GM98+(1-EXP(-LN(2)/25))/(LN(2)/25)*Calculateur!GH99*Calculateur!GJ99*VLOOKUP('Données projet'!$B$17,Paramètres!$A$1:$I$89,3,0)*0.475*44/12</f>
        <v>1.3886009177059881</v>
      </c>
      <c r="GN99" s="21">
        <f>EXP(-LN(2)/2)*GN98+(1-EXP(-LN(2)/2))/(LN(2)/2)*GH99*GK99*VLOOKUP('Données projet'!$B$17,Paramètres!$A$1:$I$89,3,0)*0.475*44/12</f>
        <v>4.7096081668009751E-10</v>
      </c>
      <c r="GO99" s="21">
        <f t="shared" si="81"/>
        <v>1.9872705071747097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2.8421709430404007E-14</v>
      </c>
      <c r="GV99" s="17">
        <f>GU99*VLOOKUP('Données projet'!$B$18,Paramètres!$A$1:$I$89,3,0)*VLOOKUP('Données projet'!$B$18,Paramètres!$A$1:$I$89,5,0)</f>
        <v>1.3567387213697657E-14</v>
      </c>
      <c r="GW99" s="13">
        <f t="shared" si="105"/>
        <v>2.5717320947985821E-13</v>
      </c>
      <c r="GX99" s="20">
        <f t="shared" si="82"/>
        <v>4.7153987257460977E-13</v>
      </c>
      <c r="GY99" s="59">
        <f t="shared" si="83"/>
        <v>293.33333333333377</v>
      </c>
      <c r="GZ99" s="59">
        <f ca="1">AVERAGE(OFFSET($GY$3,0,0,'Données projet'!$E$18+1,1))-AVERAGE(OFFSET($H$3,0,0,'Données projet'!$E$18+1,1))</f>
        <v>43.147469606759159</v>
      </c>
      <c r="HA99" s="59">
        <f t="shared" si="106"/>
        <v>147.46995307968473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9.7587424678251669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6.4165733898546249E-11</v>
      </c>
      <c r="HJ99" s="22">
        <f t="shared" si="84"/>
        <v>9.7587424678893324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3.7</v>
      </c>
      <c r="N100" s="13">
        <f>IF('Données projet'!$A$36&gt;35,N99+M100-V99,IF(A100&lt;'Données projet'!$A$36,$K$205^A100,IF(A100='Données projet'!$A$36,'Données projet'!$B$36,N99+M100-V99)))</f>
        <v>218.9</v>
      </c>
      <c r="O100" s="13">
        <f>N100*VLOOKUP('Données projet'!$B$9,Paramètres!$A$1:$I$89,3,0)*VLOOKUP('Données projet'!$B$9,Paramètres!$A$1:$I$89,5,0)</f>
        <v>198.06072</v>
      </c>
      <c r="P100" s="13">
        <f t="shared" si="87"/>
        <v>49.317731290351951</v>
      </c>
      <c r="Q100" s="20">
        <f t="shared" si="107"/>
        <v>430.85080266402957</v>
      </c>
      <c r="R100" s="59">
        <f t="shared" si="55"/>
        <v>724.18413599736289</v>
      </c>
      <c r="S100" s="59">
        <f ca="1">AVERAGE(OFFSET($R$3,0,0,'Données projet'!$E$9+1,1))-AVERAGE(OFFSET($H$3,0,0,'Données projet'!$E$9+1,1))</f>
        <v>138.8931001150624</v>
      </c>
      <c r="T100" s="59">
        <f t="shared" si="88"/>
        <v>48.964659354096625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-7.4487616075202836E-14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191.94797389630673</v>
      </c>
      <c r="AO100" s="59">
        <f t="shared" si="90"/>
        <v>273.52540822767878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2.1920920136584487</v>
      </c>
      <c r="AW100" s="21">
        <f>EXP(-LN(2)/2)*AW99+(1-EXP(-LN(2)/2))/(LN(2)/2)*AQ100*AT100*VLOOKUP('Données projet'!$B$10,Paramètres!$A$1:$I$89,3,0)*0.475*44/12</f>
        <v>1.9100312067657181E-9</v>
      </c>
      <c r="AX100" s="21">
        <f t="shared" si="60"/>
        <v>2.8751576883292143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3.5470293369144201E-14</v>
      </c>
      <c r="BF100" s="13">
        <f t="shared" si="91"/>
        <v>6.0119115841663204E-13</v>
      </c>
      <c r="BG100" s="20">
        <f t="shared" si="61"/>
        <v>1.1088520285268936E-12</v>
      </c>
      <c r="BH100" s="59">
        <f t="shared" si="62"/>
        <v>293.33333333333445</v>
      </c>
      <c r="BI100" s="59">
        <f ca="1">AVERAGE(OFFSET($BH$3,0,0,'Données projet'!$E$11+1,1))-AVERAGE(OFFSET($H$3,0,0,'Données projet'!$E$11+1,1))</f>
        <v>162.91481796710048</v>
      </c>
      <c r="BJ100" s="59">
        <f t="shared" si="92"/>
        <v>182.56192390367823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0.73789540043170043</v>
      </c>
      <c r="BQ100" s="21">
        <f>EXP(-LN(2)/25)*BQ99+(1-EXP(-LN(2)/25))/(LN(2)/25)*Calculateur!BL100*Calculateur!BN100*VLOOKUP('Données projet'!$B$11,Paramètres!$A$1:$I$89,3,0)*0.475*44/12</f>
        <v>2.3840925443828027</v>
      </c>
      <c r="BR100" s="21">
        <f>EXP(-LN(2)/2)*BR99+(1-EXP(-LN(2)/2))/(LN(2)/2)*BL100*BO100*VLOOKUP('Données projet'!$B$11,Paramètres!$A$1:$I$89,3,0)*0.475*44/12</f>
        <v>1.4792321738010196E-9</v>
      </c>
      <c r="BS100" s="22">
        <f t="shared" si="63"/>
        <v>3.1219879462937352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8.3000000000000007</v>
      </c>
      <c r="BY100" s="12">
        <f>IF('Données projet'!$A$114&gt;35,BY99+BX100-CG99,IF(A100&lt;'Données projet'!$A$114,$BV$205^A100,IF(A100='Données projet'!$A$114,'Données projet'!$B$114,BY99+BX100-CG99)))</f>
        <v>383</v>
      </c>
      <c r="BZ100" s="13">
        <f>BY100*VLOOKUP('Données projet'!$B$12,Paramètres!$A$1:$I$89,3,0)*VLOOKUP('Données projet'!$B$12,Paramètres!$A$1:$I$89,5,0)</f>
        <v>179.244</v>
      </c>
      <c r="CA100" s="13">
        <f t="shared" si="93"/>
        <v>45.153948916787364</v>
      </c>
      <c r="CB100" s="20">
        <f t="shared" si="64"/>
        <v>390.82642769673799</v>
      </c>
      <c r="CC100" s="59">
        <f t="shared" si="65"/>
        <v>684.15976103007131</v>
      </c>
      <c r="CD100" s="59">
        <f ca="1">AVERAGE(OFFSET($CC$3,0,0,'Données projet'!$E$12+1,1))-AVERAGE(OFFSET($H$3,0,0,'Données projet'!$E$12+1,1))</f>
        <v>123.60520571614535</v>
      </c>
      <c r="CE100" s="59">
        <f t="shared" si="94"/>
        <v>119.00926870519527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0.23009818625068895</v>
      </c>
      <c r="CL100" s="21">
        <f>EXP(-LN(2)/25)*CL99+(1-EXP(-LN(2)/25))/(LN(2)/25)*Calculateur!CG100*Calculateur!CI100*VLOOKUP('Données projet'!$B$12,Paramètres!$A$1:$I$89,3,0)*0.475*44/12</f>
        <v>0.7453716487272144</v>
      </c>
      <c r="CM100" s="21">
        <f>EXP(-LN(2)/2)*CM99+(1-EXP(-LN(2)/2))/(LN(2)/2)*CG100*CJ100*VLOOKUP('Données projet'!$B$12,Paramètres!$A$1:$I$89,3,0)*0.475*44/12</f>
        <v>5.0326880841234296E-10</v>
      </c>
      <c r="CN100" s="22">
        <f t="shared" si="66"/>
        <v>0.97546983548117217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218.9</v>
      </c>
      <c r="CU100" s="17">
        <f>CT100*VLOOKUP('Données projet'!$B$13,Paramètres!$A$1:$I$89,3,0)*VLOOKUP('Données projet'!$B$13,Paramètres!$A$1:$I$89,5,0)</f>
        <v>228.79428000000001</v>
      </c>
      <c r="CV100" s="13">
        <f t="shared" si="95"/>
        <v>56.021896980858713</v>
      </c>
      <c r="CW100" s="20">
        <f t="shared" si="67"/>
        <v>496.05484157499558</v>
      </c>
      <c r="CX100" s="59">
        <f t="shared" si="68"/>
        <v>789.38817490832889</v>
      </c>
      <c r="CY100" s="59">
        <f ca="1">AVERAGE(OFFSET($CX$3,0,0,'Données projet'!$E$13+1,1))-AVERAGE(OFFSET($H$3,0,0,'Données projet'!$E$13+1,1))</f>
        <v>177.94336949486529</v>
      </c>
      <c r="CZ100" s="59">
        <f t="shared" si="96"/>
        <v>65.559373432574603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3.3992364478763198E-14</v>
      </c>
      <c r="DQ100" s="13">
        <f t="shared" si="97"/>
        <v>5.790027782444094E-13</v>
      </c>
      <c r="DR100" s="20">
        <f t="shared" si="70"/>
        <v>1.0676332069095257E-12</v>
      </c>
      <c r="DS100" s="59">
        <f t="shared" si="71"/>
        <v>293.33333333333439</v>
      </c>
      <c r="DT100" s="59">
        <f ca="1">AVERAGE(OFFSET($DS$3,0,0,'Données projet'!$E$14+1,1))-AVERAGE(OFFSET($H$3,0,0,'Données projet'!$E$14+1,1))</f>
        <v>165.39579887388538</v>
      </c>
      <c r="DU100" s="59">
        <f t="shared" si="98"/>
        <v>155.89639262545802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1.1374234263633209</v>
      </c>
      <c r="EC100" s="21">
        <f>EXP(-LN(2)/2)*EC99+(1-EXP(-LN(2)/2))/(LN(2)/2)*DW100*DZ100*VLOOKUP('Données projet'!$B$14,Paramètres!$A$1:$I$89,3,0)*0.475*44/12</f>
        <v>1.1425776630170469E-9</v>
      </c>
      <c r="ED100" s="22">
        <f t="shared" si="72"/>
        <v>1.1374234275058985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-1.1368683772161603E-12</v>
      </c>
      <c r="EK100" s="17">
        <f>EJ100*VLOOKUP('Données projet'!$B$15,Paramètres!$A$1:$I$89,3,0)*VLOOKUP('Données projet'!$B$15,Paramètres!$A$1:$I$89,5,0)</f>
        <v>-5.4683368944097316E-13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252.30925789500111</v>
      </c>
      <c r="EP100" s="59">
        <f t="shared" si="100"/>
        <v>213.96033794804805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1.2290021234124726</v>
      </c>
      <c r="EW100" s="21">
        <f>EXP(-LN(2)/25)*EW99+(1-EXP(-LN(2)/25))/(LN(2)/25)*Calculateur!ER100*Calculateur!ET100*VLOOKUP('Données projet'!$B$15,Paramètres!$A$1:$I$89,3,0)*0.475*44/12</f>
        <v>1.4400126348048332</v>
      </c>
      <c r="EX100" s="21">
        <f>EXP(-LN(2)/2)*EX99+(1-EXP(-LN(2)/2))/(LN(2)/2)*ER100*EU100*VLOOKUP('Données projet'!$B$15,Paramètres!$A$1:$I$89,3,0)*0.475*44/12</f>
        <v>1.1835311359862693E-9</v>
      </c>
      <c r="EY100" s="22">
        <f t="shared" si="75"/>
        <v>2.6690147594008367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-1.1368683772161603E-12</v>
      </c>
      <c r="FF100" s="17">
        <f>FE100*VLOOKUP('Données projet'!$B$16,Paramètres!$A$1:$I$89,3,0)*VLOOKUP('Données projet'!$B$16,Paramètres!$A$1:$I$89,5,0)</f>
        <v>-5.4683368944097316E-13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252.30925789500111</v>
      </c>
      <c r="FK100" s="59">
        <f t="shared" si="102"/>
        <v>213.96033794804805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1.2290021234124726</v>
      </c>
      <c r="FR100" s="21">
        <f>EXP(-LN(2)/25)*FR99+(1-EXP(-LN(2)/25))/(LN(2)/25)*Calculateur!FM100*Calculateur!FO100*VLOOKUP('Données projet'!$B$16,Paramètres!$A$1:$I$89,3,0)*0.475*44/12</f>
        <v>1.4400126348048332</v>
      </c>
      <c r="FS100" s="21">
        <f>EXP(-LN(2)/2)*FS99+(1-EXP(-LN(2)/2))/(LN(2)/2)*FM100*FP100*VLOOKUP('Données projet'!$B$16,Paramètres!$A$1:$I$89,3,0)*0.475*44/12</f>
        <v>1.1835311359862693E-9</v>
      </c>
      <c r="FT100" s="22">
        <f t="shared" si="78"/>
        <v>2.6690147594008367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117.54638373164624</v>
      </c>
      <c r="GF100" s="59">
        <f t="shared" si="104"/>
        <v>133.0740262536583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0.58693004350990796</v>
      </c>
      <c r="GM100" s="21">
        <f>EXP(-LN(2)/25)*GM99+(1-EXP(-LN(2)/25))/(LN(2)/25)*Calculateur!GH100*Calculateur!GJ100*VLOOKUP('Données projet'!$B$17,Paramètres!$A$1:$I$89,3,0)*0.475*44/12</f>
        <v>1.3506295525879692</v>
      </c>
      <c r="GN100" s="21">
        <f>EXP(-LN(2)/2)*GN99+(1-EXP(-LN(2)/2))/(LN(2)/2)*GH100*GK100*VLOOKUP('Données projet'!$B$17,Paramètres!$A$1:$I$89,3,0)*0.475*44/12</f>
        <v>3.3301958714765143E-10</v>
      </c>
      <c r="GO100" s="21">
        <f t="shared" si="81"/>
        <v>1.9375595964308967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2.8421709430404007E-14</v>
      </c>
      <c r="GV100" s="17">
        <f>GU100*VLOOKUP('Données projet'!$B$18,Paramètres!$A$1:$I$89,3,0)*VLOOKUP('Données projet'!$B$18,Paramètres!$A$1:$I$89,5,0)</f>
        <v>1.3567387213697657E-14</v>
      </c>
      <c r="GW100" s="13">
        <f t="shared" si="105"/>
        <v>2.5717320947985821E-13</v>
      </c>
      <c r="GX100" s="20">
        <f t="shared" si="82"/>
        <v>4.7153987257460977E-13</v>
      </c>
      <c r="GY100" s="59">
        <f t="shared" si="83"/>
        <v>293.33333333333377</v>
      </c>
      <c r="GZ100" s="59">
        <f ca="1">AVERAGE(OFFSET($GY$3,0,0,'Données projet'!$E$18+1,1))-AVERAGE(OFFSET($H$3,0,0,'Données projet'!$E$18+1,1))</f>
        <v>43.147469606759159</v>
      </c>
      <c r="HA100" s="59">
        <f t="shared" si="106"/>
        <v>147.46995307968473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9.5673794802762853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4.5372025559473579E-11</v>
      </c>
      <c r="HJ100" s="22">
        <f t="shared" si="84"/>
        <v>9.567379480321657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3.7</v>
      </c>
      <c r="N101" s="13">
        <f>IF('Données projet'!$A$36&gt;35,N100+M101-V100,IF(A101&lt;'Données projet'!$A$36,$K$205^A101,IF(A101='Données projet'!$A$36,'Données projet'!$B$36,N100+M101-V100)))</f>
        <v>222.6</v>
      </c>
      <c r="O101" s="13">
        <f>N101*VLOOKUP('Données projet'!$B$9,Paramètres!$A$1:$I$89,3,0)*VLOOKUP('Données projet'!$B$9,Paramètres!$A$1:$I$89,5,0)</f>
        <v>201.40847999999997</v>
      </c>
      <c r="P101" s="13">
        <f t="shared" si="87"/>
        <v>50.053582459229212</v>
      </c>
      <c r="Q101" s="20">
        <f t="shared" si="107"/>
        <v>437.96309211649077</v>
      </c>
      <c r="R101" s="59">
        <f t="shared" si="55"/>
        <v>731.29642544982403</v>
      </c>
      <c r="S101" s="59">
        <f ca="1">AVERAGE(OFFSET($R$3,0,0,'Données projet'!$E$9+1,1))-AVERAGE(OFFSET($H$3,0,0,'Données projet'!$E$9+1,1))</f>
        <v>138.8931001150624</v>
      </c>
      <c r="T101" s="59">
        <f t="shared" si="88"/>
        <v>48.964659354096625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-7.4487616075202836E-14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191.94797389630673</v>
      </c>
      <c r="AO101" s="59">
        <f t="shared" si="90"/>
        <v>273.52540822767878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2.1321491422678496</v>
      </c>
      <c r="AW101" s="21">
        <f>EXP(-LN(2)/2)*AW100+(1-EXP(-LN(2)/2))/(LN(2)/2)*AQ101*AT101*VLOOKUP('Données projet'!$B$10,Paramètres!$A$1:$I$89,3,0)*0.475*44/12</f>
        <v>1.350596018581964E-9</v>
      </c>
      <c r="AX101" s="21">
        <f t="shared" si="60"/>
        <v>2.8018203151652639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3.5470293369144201E-14</v>
      </c>
      <c r="BF101" s="13">
        <f t="shared" si="91"/>
        <v>6.0119115841663204E-13</v>
      </c>
      <c r="BG101" s="20">
        <f t="shared" si="61"/>
        <v>1.1088520285268936E-12</v>
      </c>
      <c r="BH101" s="59">
        <f t="shared" si="62"/>
        <v>293.33333333333445</v>
      </c>
      <c r="BI101" s="59">
        <f ca="1">AVERAGE(OFFSET($BH$3,0,0,'Données projet'!$E$11+1,1))-AVERAGE(OFFSET($H$3,0,0,'Données projet'!$E$11+1,1))</f>
        <v>162.91481796710048</v>
      </c>
      <c r="BJ101" s="59">
        <f t="shared" si="92"/>
        <v>182.56192390367823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0.72342572170098818</v>
      </c>
      <c r="BQ101" s="21">
        <f>EXP(-LN(2)/25)*BQ100+(1-EXP(-LN(2)/25))/(LN(2)/25)*Calculateur!BL101*Calculateur!BN101*VLOOKUP('Données projet'!$B$11,Paramètres!$A$1:$I$89,3,0)*0.475*44/12</f>
        <v>2.3188994083826771</v>
      </c>
      <c r="BR101" s="21">
        <f>EXP(-LN(2)/2)*BR100+(1-EXP(-LN(2)/2))/(LN(2)/2)*BL101*BO101*VLOOKUP('Données projet'!$B$11,Paramètres!$A$1:$I$89,3,0)*0.475*44/12</f>
        <v>1.0459751010440186E-9</v>
      </c>
      <c r="BS101" s="22">
        <f t="shared" si="63"/>
        <v>3.0423251311296404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8.3000000000000007</v>
      </c>
      <c r="BY101" s="12">
        <f>IF('Données projet'!$A$114&gt;35,BY100+BX101-CG100,IF(A101&lt;'Données projet'!$A$114,$BV$205^A101,IF(A101='Données projet'!$A$114,'Données projet'!$B$114,BY100+BX101-CG100)))</f>
        <v>391.3</v>
      </c>
      <c r="BZ101" s="13">
        <f>BY101*VLOOKUP('Données projet'!$B$12,Paramètres!$A$1:$I$89,3,0)*VLOOKUP('Données projet'!$B$12,Paramètres!$A$1:$I$89,5,0)</f>
        <v>183.1284</v>
      </c>
      <c r="CA101" s="13">
        <f t="shared" si="93"/>
        <v>46.017498014577676</v>
      </c>
      <c r="CB101" s="20">
        <f t="shared" si="64"/>
        <v>399.09577237538946</v>
      </c>
      <c r="CC101" s="59">
        <f t="shared" si="65"/>
        <v>692.42910570872277</v>
      </c>
      <c r="CD101" s="59">
        <f ca="1">AVERAGE(OFFSET($CC$3,0,0,'Données projet'!$E$12+1,1))-AVERAGE(OFFSET($H$3,0,0,'Données projet'!$E$12+1,1))</f>
        <v>123.60520571614535</v>
      </c>
      <c r="CE101" s="59">
        <f t="shared" si="94"/>
        <v>119.00926870519527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0.22558610116434855</v>
      </c>
      <c r="CL101" s="21">
        <f>EXP(-LN(2)/25)*CL100+(1-EXP(-LN(2)/25))/(LN(2)/25)*Calculateur!CG101*Calculateur!CI101*VLOOKUP('Données projet'!$B$12,Paramètres!$A$1:$I$89,3,0)*0.475*44/12</f>
        <v>0.72498942179537729</v>
      </c>
      <c r="CM101" s="21">
        <f>EXP(-LN(2)/2)*CM100+(1-EXP(-LN(2)/2))/(LN(2)/2)*CG101*CJ101*VLOOKUP('Données projet'!$B$12,Paramètres!$A$1:$I$89,3,0)*0.475*44/12</f>
        <v>3.5586478718804111E-10</v>
      </c>
      <c r="CN101" s="22">
        <f t="shared" si="66"/>
        <v>0.95057552331559059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222.6</v>
      </c>
      <c r="CU101" s="17">
        <f>CT101*VLOOKUP('Données projet'!$B$13,Paramètres!$A$1:$I$89,3,0)*VLOOKUP('Données projet'!$B$13,Paramètres!$A$1:$I$89,5,0)</f>
        <v>232.66152</v>
      </c>
      <c r="CV101" s="13">
        <f t="shared" si="95"/>
        <v>56.857778463998805</v>
      </c>
      <c r="CW101" s="20">
        <f t="shared" si="67"/>
        <v>504.24611149146449</v>
      </c>
      <c r="CX101" s="59">
        <f t="shared" si="68"/>
        <v>797.57944482479775</v>
      </c>
      <c r="CY101" s="59">
        <f ca="1">AVERAGE(OFFSET($CX$3,0,0,'Données projet'!$E$13+1,1))-AVERAGE(OFFSET($H$3,0,0,'Données projet'!$E$13+1,1))</f>
        <v>177.94336949486529</v>
      </c>
      <c r="CZ101" s="59">
        <f t="shared" si="96"/>
        <v>65.559373432574603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3.3992364478763198E-14</v>
      </c>
      <c r="DQ101" s="13">
        <f t="shared" si="97"/>
        <v>5.790027782444094E-13</v>
      </c>
      <c r="DR101" s="20">
        <f t="shared" si="70"/>
        <v>1.0676332069095257E-12</v>
      </c>
      <c r="DS101" s="59">
        <f t="shared" si="71"/>
        <v>293.33333333333439</v>
      </c>
      <c r="DT101" s="59">
        <f ca="1">AVERAGE(OFFSET($DS$3,0,0,'Données projet'!$E$14+1,1))-AVERAGE(OFFSET($H$3,0,0,'Données projet'!$E$14+1,1))</f>
        <v>165.39579887388538</v>
      </c>
      <c r="DU101" s="59">
        <f t="shared" si="98"/>
        <v>155.89639262545802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1.1063205229549176</v>
      </c>
      <c r="EC101" s="21">
        <f>EXP(-LN(2)/2)*EC100+(1-EXP(-LN(2)/2))/(LN(2)/2)*DW101*DZ101*VLOOKUP('Données projet'!$B$14,Paramètres!$A$1:$I$89,3,0)*0.475*44/12</f>
        <v>8.0792441355163183E-10</v>
      </c>
      <c r="ED101" s="22">
        <f t="shared" si="72"/>
        <v>1.106320523762842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-1.1368683772161603E-12</v>
      </c>
      <c r="EK101" s="17">
        <f>EJ101*VLOOKUP('Données projet'!$B$15,Paramètres!$A$1:$I$89,3,0)*VLOOKUP('Données projet'!$B$15,Paramètres!$A$1:$I$89,5,0)</f>
        <v>-5.4683368944097316E-13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252.30925789500111</v>
      </c>
      <c r="EP101" s="59">
        <f t="shared" si="100"/>
        <v>213.96033794804805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1.2049021413896308</v>
      </c>
      <c r="EW101" s="21">
        <f>EXP(-LN(2)/25)*EW100+(1-EXP(-LN(2)/25))/(LN(2)/25)*Calculateur!ER101*Calculateur!ET101*VLOOKUP('Données projet'!$B$15,Paramètres!$A$1:$I$89,3,0)*0.475*44/12</f>
        <v>1.4006354135791217</v>
      </c>
      <c r="EX101" s="21">
        <f>EXP(-LN(2)/2)*EX100+(1-EXP(-LN(2)/2))/(LN(2)/2)*ER101*EU101*VLOOKUP('Données projet'!$B$15,Paramètres!$A$1:$I$89,3,0)*0.475*44/12</f>
        <v>8.3688289200130896E-10</v>
      </c>
      <c r="EY101" s="22">
        <f t="shared" si="75"/>
        <v>2.6055375558056357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-1.1368683772161603E-12</v>
      </c>
      <c r="FF101" s="17">
        <f>FE101*VLOOKUP('Données projet'!$B$16,Paramètres!$A$1:$I$89,3,0)*VLOOKUP('Données projet'!$B$16,Paramètres!$A$1:$I$89,5,0)</f>
        <v>-5.4683368944097316E-13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252.30925789500111</v>
      </c>
      <c r="FK101" s="59">
        <f t="shared" si="102"/>
        <v>213.96033794804805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1.2049021413896308</v>
      </c>
      <c r="FR101" s="21">
        <f>EXP(-LN(2)/25)*FR100+(1-EXP(-LN(2)/25))/(LN(2)/25)*Calculateur!FM101*Calculateur!FO101*VLOOKUP('Données projet'!$B$16,Paramètres!$A$1:$I$89,3,0)*0.475*44/12</f>
        <v>1.4006354135791217</v>
      </c>
      <c r="FS101" s="21">
        <f>EXP(-LN(2)/2)*FS100+(1-EXP(-LN(2)/2))/(LN(2)/2)*FM101*FP101*VLOOKUP('Données projet'!$B$16,Paramètres!$A$1:$I$89,3,0)*0.475*44/12</f>
        <v>8.3688289200130896E-10</v>
      </c>
      <c r="FT101" s="22">
        <f t="shared" si="78"/>
        <v>2.6055375558056357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117.54638373164624</v>
      </c>
      <c r="GF101" s="59">
        <f t="shared" si="104"/>
        <v>133.0740262536583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0.57542070334865647</v>
      </c>
      <c r="GM101" s="21">
        <f>EXP(-LN(2)/25)*GM100+(1-EXP(-LN(2)/25))/(LN(2)/25)*Calculateur!GH101*Calculateur!GJ101*VLOOKUP('Données projet'!$B$17,Paramètres!$A$1:$I$89,3,0)*0.475*44/12</f>
        <v>1.31369651644593</v>
      </c>
      <c r="GN101" s="21">
        <f>EXP(-LN(2)/2)*GN100+(1-EXP(-LN(2)/2))/(LN(2)/2)*GH101*GK101*VLOOKUP('Données projet'!$B$17,Paramètres!$A$1:$I$89,3,0)*0.475*44/12</f>
        <v>2.3548040834004875E-10</v>
      </c>
      <c r="GO101" s="21">
        <f t="shared" si="81"/>
        <v>1.8891172200300668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2.8421709430404007E-14</v>
      </c>
      <c r="GV101" s="17">
        <f>GU101*VLOOKUP('Données projet'!$B$18,Paramètres!$A$1:$I$89,3,0)*VLOOKUP('Données projet'!$B$18,Paramètres!$A$1:$I$89,5,0)</f>
        <v>1.3567387213697657E-14</v>
      </c>
      <c r="GW101" s="13">
        <f t="shared" si="105"/>
        <v>2.5717320947985821E-13</v>
      </c>
      <c r="GX101" s="20">
        <f t="shared" si="82"/>
        <v>4.7153987257460977E-13</v>
      </c>
      <c r="GY101" s="59">
        <f t="shared" si="83"/>
        <v>293.33333333333377</v>
      </c>
      <c r="GZ101" s="59">
        <f ca="1">AVERAGE(OFFSET($GY$3,0,0,'Données projet'!$E$18+1,1))-AVERAGE(OFFSET($H$3,0,0,'Données projet'!$E$18+1,1))</f>
        <v>43.147469606759159</v>
      </c>
      <c r="HA101" s="59">
        <f t="shared" si="106"/>
        <v>147.46995307968473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9.3797690041933404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3.2082866949273124E-11</v>
      </c>
      <c r="HJ101" s="22">
        <f t="shared" si="84"/>
        <v>9.3797690042254231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3.7</v>
      </c>
      <c r="N102" s="13">
        <f>IF('Données projet'!$A$36&gt;35,N101+M102-V101,IF(A102&lt;'Données projet'!$A$36,$K$205^A102,IF(A102='Données projet'!$A$36,'Données projet'!$B$36,N101+M102-V101)))</f>
        <v>226.29999999999998</v>
      </c>
      <c r="O102" s="13">
        <f>N102*VLOOKUP('Données projet'!$B$9,Paramètres!$A$1:$I$89,3,0)*VLOOKUP('Données projet'!$B$9,Paramètres!$A$1:$I$89,5,0)</f>
        <v>204.75623999999999</v>
      </c>
      <c r="P102" s="13">
        <f t="shared" si="87"/>
        <v>50.788011231821393</v>
      </c>
      <c r="Q102" s="20">
        <f t="shared" si="107"/>
        <v>445.07290422875553</v>
      </c>
      <c r="R102" s="59">
        <f t="shared" si="55"/>
        <v>738.40623756208879</v>
      </c>
      <c r="S102" s="59">
        <f ca="1">AVERAGE(OFFSET($R$3,0,0,'Données projet'!$E$9+1,1))-AVERAGE(OFFSET($H$3,0,0,'Données projet'!$E$9+1,1))</f>
        <v>138.8931001150624</v>
      </c>
      <c r="T102" s="59">
        <f t="shared" si="88"/>
        <v>48.964659354096625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-7.4487616075202836E-14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191.94797389630673</v>
      </c>
      <c r="AO102" s="59">
        <f t="shared" si="90"/>
        <v>273.52540822767878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2.0738454118476848</v>
      </c>
      <c r="AW102" s="21">
        <f>EXP(-LN(2)/2)*AW101+(1-EXP(-LN(2)/2))/(LN(2)/2)*AQ102*AT102*VLOOKUP('Données projet'!$B$10,Paramètres!$A$1:$I$89,3,0)*0.475*44/12</f>
        <v>9.5501560338285905E-10</v>
      </c>
      <c r="AX102" s="21">
        <f t="shared" si="60"/>
        <v>2.7303847411345679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3.5470293369144201E-14</v>
      </c>
      <c r="BF102" s="13">
        <f t="shared" si="91"/>
        <v>6.0119115841663204E-13</v>
      </c>
      <c r="BG102" s="20">
        <f t="shared" si="61"/>
        <v>1.1088520285268936E-12</v>
      </c>
      <c r="BH102" s="59">
        <f t="shared" si="62"/>
        <v>293.33333333333445</v>
      </c>
      <c r="BI102" s="59">
        <f ca="1">AVERAGE(OFFSET($BH$3,0,0,'Données projet'!$E$11+1,1))-AVERAGE(OFFSET($H$3,0,0,'Données projet'!$E$11+1,1))</f>
        <v>162.91481796710048</v>
      </c>
      <c r="BJ102" s="59">
        <f t="shared" si="92"/>
        <v>182.56192390367823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0.70923978454455261</v>
      </c>
      <c r="BQ102" s="21">
        <f>EXP(-LN(2)/25)*BQ101+(1-EXP(-LN(2)/25))/(LN(2)/25)*Calculateur!BL102*Calculateur!BN102*VLOOKUP('Données projet'!$B$11,Paramètres!$A$1:$I$89,3,0)*0.475*44/12</f>
        <v>2.2554889821148327</v>
      </c>
      <c r="BR102" s="21">
        <f>EXP(-LN(2)/2)*BR101+(1-EXP(-LN(2)/2))/(LN(2)/2)*BL102*BO102*VLOOKUP('Données projet'!$B$11,Paramètres!$A$1:$I$89,3,0)*0.475*44/12</f>
        <v>7.3961608690050982E-10</v>
      </c>
      <c r="BS102" s="22">
        <f t="shared" si="63"/>
        <v>2.9647287673990013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8.3000000000000007</v>
      </c>
      <c r="BY102" s="12">
        <f>IF('Données projet'!$A$114&gt;35,BY101+BX102-CG101,IF(A102&lt;'Données projet'!$A$114,$BV$205^A102,IF(A102='Données projet'!$A$114,'Données projet'!$B$114,BY101+BX102-CG101)))</f>
        <v>399.6</v>
      </c>
      <c r="BZ102" s="13">
        <f>BY102*VLOOKUP('Données projet'!$B$12,Paramètres!$A$1:$I$89,3,0)*VLOOKUP('Données projet'!$B$12,Paramètres!$A$1:$I$89,5,0)</f>
        <v>187.0128</v>
      </c>
      <c r="CA102" s="13">
        <f t="shared" si="93"/>
        <v>46.878917470101705</v>
      </c>
      <c r="CB102" s="20">
        <f t="shared" si="64"/>
        <v>407.36140792709375</v>
      </c>
      <c r="CC102" s="59">
        <f t="shared" si="65"/>
        <v>700.69474126042701</v>
      </c>
      <c r="CD102" s="59">
        <f ca="1">AVERAGE(OFFSET($CC$3,0,0,'Données projet'!$E$12+1,1))-AVERAGE(OFFSET($H$3,0,0,'Données projet'!$E$12+1,1))</f>
        <v>123.60520571614535</v>
      </c>
      <c r="CE102" s="59">
        <f t="shared" si="94"/>
        <v>119.00926870519527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0.22116249531445112</v>
      </c>
      <c r="CL102" s="21">
        <f>EXP(-LN(2)/25)*CL101+(1-EXP(-LN(2)/25))/(LN(2)/25)*Calculateur!CG102*Calculateur!CI102*VLOOKUP('Données projet'!$B$12,Paramètres!$A$1:$I$89,3,0)*0.475*44/12</f>
        <v>0.70516454793084604</v>
      </c>
      <c r="CM102" s="21">
        <f>EXP(-LN(2)/2)*CM101+(1-EXP(-LN(2)/2))/(LN(2)/2)*CG102*CJ102*VLOOKUP('Données projet'!$B$12,Paramètres!$A$1:$I$89,3,0)*0.475*44/12</f>
        <v>2.5163440420617148E-10</v>
      </c>
      <c r="CN102" s="22">
        <f t="shared" si="66"/>
        <v>0.92632704349693151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226.29999999999998</v>
      </c>
      <c r="CU102" s="17">
        <f>CT102*VLOOKUP('Données projet'!$B$13,Paramètres!$A$1:$I$89,3,0)*VLOOKUP('Données projet'!$B$13,Paramètres!$A$1:$I$89,5,0)</f>
        <v>236.52876000000003</v>
      </c>
      <c r="CV102" s="13">
        <f t="shared" si="95"/>
        <v>57.692044192803415</v>
      </c>
      <c r="CW102" s="20">
        <f t="shared" si="67"/>
        <v>512.43456730246589</v>
      </c>
      <c r="CX102" s="59">
        <f t="shared" si="68"/>
        <v>805.76790063579915</v>
      </c>
      <c r="CY102" s="59">
        <f ca="1">AVERAGE(OFFSET($CX$3,0,0,'Données projet'!$E$13+1,1))-AVERAGE(OFFSET($H$3,0,0,'Données projet'!$E$13+1,1))</f>
        <v>177.94336949486529</v>
      </c>
      <c r="CZ102" s="59">
        <f t="shared" si="96"/>
        <v>65.559373432574603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3.3992364478763198E-14</v>
      </c>
      <c r="DQ102" s="13">
        <f t="shared" si="97"/>
        <v>5.790027782444094E-13</v>
      </c>
      <c r="DR102" s="20">
        <f t="shared" si="70"/>
        <v>1.0676332069095257E-12</v>
      </c>
      <c r="DS102" s="59">
        <f t="shared" si="71"/>
        <v>293.33333333333439</v>
      </c>
      <c r="DT102" s="59">
        <f ca="1">AVERAGE(OFFSET($DS$3,0,0,'Données projet'!$E$14+1,1))-AVERAGE(OFFSET($H$3,0,0,'Données projet'!$E$14+1,1))</f>
        <v>165.39579887388538</v>
      </c>
      <c r="DU102" s="59">
        <f t="shared" si="98"/>
        <v>155.89639262545802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1.0760681300758477</v>
      </c>
      <c r="EC102" s="21">
        <f>EXP(-LN(2)/2)*EC101+(1-EXP(-LN(2)/2))/(LN(2)/2)*DW102*DZ102*VLOOKUP('Données projet'!$B$14,Paramètres!$A$1:$I$89,3,0)*0.475*44/12</f>
        <v>5.7128883150852345E-10</v>
      </c>
      <c r="ED102" s="22">
        <f t="shared" si="72"/>
        <v>1.0760681306471365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-1.1368683772161603E-12</v>
      </c>
      <c r="EK102" s="17">
        <f>EJ102*VLOOKUP('Données projet'!$B$15,Paramètres!$A$1:$I$89,3,0)*VLOOKUP('Données projet'!$B$15,Paramètres!$A$1:$I$89,5,0)</f>
        <v>-5.4683368944097316E-13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252.30925789500111</v>
      </c>
      <c r="EP102" s="59">
        <f t="shared" si="100"/>
        <v>213.96033794804805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1.1812747453147192</v>
      </c>
      <c r="EW102" s="21">
        <f>EXP(-LN(2)/25)*EW101+(1-EXP(-LN(2)/25))/(LN(2)/25)*Calculateur!ER102*Calculateur!ET102*VLOOKUP('Données projet'!$B$15,Paramètres!$A$1:$I$89,3,0)*0.475*44/12</f>
        <v>1.3623349645385854</v>
      </c>
      <c r="EX102" s="21">
        <f>EXP(-LN(2)/2)*EX101+(1-EXP(-LN(2)/2))/(LN(2)/2)*ER102*EU102*VLOOKUP('Données projet'!$B$15,Paramètres!$A$1:$I$89,3,0)*0.475*44/12</f>
        <v>5.9176556799313465E-10</v>
      </c>
      <c r="EY102" s="22">
        <f t="shared" si="75"/>
        <v>2.5436097104450703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-1.1368683772161603E-12</v>
      </c>
      <c r="FF102" s="17">
        <f>FE102*VLOOKUP('Données projet'!$B$16,Paramètres!$A$1:$I$89,3,0)*VLOOKUP('Données projet'!$B$16,Paramètres!$A$1:$I$89,5,0)</f>
        <v>-5.4683368944097316E-13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252.30925789500111</v>
      </c>
      <c r="FK102" s="59">
        <f t="shared" si="102"/>
        <v>213.96033794804805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1.1812747453147192</v>
      </c>
      <c r="FR102" s="21">
        <f>EXP(-LN(2)/25)*FR101+(1-EXP(-LN(2)/25))/(LN(2)/25)*Calculateur!FM102*Calculateur!FO102*VLOOKUP('Données projet'!$B$16,Paramètres!$A$1:$I$89,3,0)*0.475*44/12</f>
        <v>1.3623349645385854</v>
      </c>
      <c r="FS102" s="21">
        <f>EXP(-LN(2)/2)*FS101+(1-EXP(-LN(2)/2))/(LN(2)/2)*FM102*FP102*VLOOKUP('Données projet'!$B$16,Paramètres!$A$1:$I$89,3,0)*0.475*44/12</f>
        <v>5.9176556799313465E-10</v>
      </c>
      <c r="FT102" s="22">
        <f t="shared" si="78"/>
        <v>2.5436097104450703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117.54638373164624</v>
      </c>
      <c r="GF102" s="59">
        <f t="shared" si="104"/>
        <v>133.0740262536583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0.56413705432796279</v>
      </c>
      <c r="GM102" s="21">
        <f>EXP(-LN(2)/25)*GM101+(1-EXP(-LN(2)/25))/(LN(2)/25)*Calculateur!GH102*Calculateur!GJ102*VLOOKUP('Données projet'!$B$17,Paramètres!$A$1:$I$89,3,0)*0.475*44/12</f>
        <v>1.2777734161194187</v>
      </c>
      <c r="GN102" s="21">
        <f>EXP(-LN(2)/2)*GN101+(1-EXP(-LN(2)/2))/(LN(2)/2)*GH102*GK102*VLOOKUP('Données projet'!$B$17,Paramètres!$A$1:$I$89,3,0)*0.475*44/12</f>
        <v>1.6650979357382572E-10</v>
      </c>
      <c r="GO102" s="21">
        <f t="shared" si="81"/>
        <v>1.8419104706138911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2.8421709430404007E-14</v>
      </c>
      <c r="GV102" s="17">
        <f>GU102*VLOOKUP('Données projet'!$B$18,Paramètres!$A$1:$I$89,3,0)*VLOOKUP('Données projet'!$B$18,Paramètres!$A$1:$I$89,5,0)</f>
        <v>1.3567387213697657E-14</v>
      </c>
      <c r="GW102" s="13">
        <f t="shared" si="105"/>
        <v>2.5717320947985821E-13</v>
      </c>
      <c r="GX102" s="20">
        <f t="shared" si="82"/>
        <v>4.7153987257460977E-13</v>
      </c>
      <c r="GY102" s="59">
        <f t="shared" si="83"/>
        <v>293.33333333333377</v>
      </c>
      <c r="GZ102" s="59">
        <f ca="1">AVERAGE(OFFSET($GY$3,0,0,'Données projet'!$E$18+1,1))-AVERAGE(OFFSET($H$3,0,0,'Données projet'!$E$18+1,1))</f>
        <v>43.147469606759159</v>
      </c>
      <c r="HA102" s="59">
        <f t="shared" si="106"/>
        <v>147.46995307968473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9.1958374551152904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2.2686012779736789E-11</v>
      </c>
      <c r="HJ102" s="22">
        <f t="shared" si="84"/>
        <v>9.1958374551379762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230</v>
      </c>
      <c r="L103" s="12">
        <f>VLOOKUP(A103,'Données projet'!$A$35:$I$55,9,0)</f>
        <v>3.7</v>
      </c>
      <c r="M103" s="12">
        <f t="array" ref="M103">INDEX(L:L,MIN(IF(ISNUMBER(L103:L299),ROW(L103:L299),"")))</f>
        <v>3.7</v>
      </c>
      <c r="N103" s="13">
        <f>IF('Données projet'!$A$36&gt;35,N102+M103-V102,IF(A103&lt;'Données projet'!$A$36,$K$205^A103,IF(A103='Données projet'!$A$36,'Données projet'!$B$36,N102+M103-V102)))</f>
        <v>229.99999999999997</v>
      </c>
      <c r="O103" s="13">
        <f>N103*VLOOKUP('Données projet'!$B$9,Paramètres!$A$1:$I$89,3,0)*VLOOKUP('Données projet'!$B$9,Paramètres!$A$1:$I$89,5,0)</f>
        <v>208.10399999999998</v>
      </c>
      <c r="P103" s="13">
        <f t="shared" si="87"/>
        <v>51.52104354893045</v>
      </c>
      <c r="Q103" s="20">
        <f t="shared" si="107"/>
        <v>452.18028418105382</v>
      </c>
      <c r="R103" s="59">
        <f t="shared" si="55"/>
        <v>745.51361751438708</v>
      </c>
      <c r="S103" s="59">
        <f ca="1">AVERAGE(OFFSET($R$3,0,0,'Données projet'!$E$9+1,1))-AVERAGE(OFFSET($H$3,0,0,'Données projet'!$E$9+1,1))</f>
        <v>138.8931001150624</v>
      </c>
      <c r="T103" s="59">
        <f t="shared" si="88"/>
        <v>48.964659354096625</v>
      </c>
      <c r="U103" s="15">
        <f>IF(ISNA(VLOOKUP(A103,'Données projet'!$A$35:$I$55,3,0)),0,VLOOKUP(A103,'Données projet'!$A$35:$I$55,3,0))</f>
        <v>7</v>
      </c>
      <c r="V103" s="15">
        <f>IF(ISNA(VLOOKUP(A103,'Données projet'!$A$35:$I$55,4,0)),0,VLOOKUP(A103,'Données projet'!$A$35:$I$55,4,0))</f>
        <v>28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-7.4487616075202836E-14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191.94797389630673</v>
      </c>
      <c r="AO103" s="59">
        <f t="shared" si="90"/>
        <v>273.52540822767878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2.0171360000019196</v>
      </c>
      <c r="AW103" s="21">
        <f>EXP(-LN(2)/2)*AW102+(1-EXP(-LN(2)/2))/(LN(2)/2)*AQ103*AT103*VLOOKUP('Données projet'!$B$10,Paramètres!$A$1:$I$89,3,0)*0.475*44/12</f>
        <v>6.7529800929098199E-10</v>
      </c>
      <c r="AX103" s="21">
        <f t="shared" si="60"/>
        <v>2.6608009932299463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3.5470293369144201E-14</v>
      </c>
      <c r="BF103" s="13">
        <f t="shared" si="91"/>
        <v>6.0119115841663204E-13</v>
      </c>
      <c r="BG103" s="20">
        <f t="shared" si="61"/>
        <v>1.1088520285268936E-12</v>
      </c>
      <c r="BH103" s="59">
        <f t="shared" si="62"/>
        <v>293.33333333333445</v>
      </c>
      <c r="BI103" s="59">
        <f ca="1">AVERAGE(OFFSET($BH$3,0,0,'Données projet'!$E$11+1,1))-AVERAGE(OFFSET($H$3,0,0,'Données projet'!$E$11+1,1))</f>
        <v>162.91481796710048</v>
      </c>
      <c r="BJ103" s="59">
        <f t="shared" si="92"/>
        <v>182.56192390367823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0.69533202496318747</v>
      </c>
      <c r="BQ103" s="21">
        <f>EXP(-LN(2)/25)*BQ102+(1-EXP(-LN(2)/25))/(LN(2)/25)*Calculateur!BL103*Calculateur!BN103*VLOOKUP('Données projet'!$B$11,Paramètres!$A$1:$I$89,3,0)*0.475*44/12</f>
        <v>2.1938125172878919</v>
      </c>
      <c r="BR103" s="21">
        <f>EXP(-LN(2)/2)*BR102+(1-EXP(-LN(2)/2))/(LN(2)/2)*BL103*BO103*VLOOKUP('Données projet'!$B$11,Paramètres!$A$1:$I$89,3,0)*0.475*44/12</f>
        <v>5.229875505220093E-10</v>
      </c>
      <c r="BS103" s="22">
        <f t="shared" si="63"/>
        <v>2.889144542774067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407.9</v>
      </c>
      <c r="BW103" s="12">
        <f>VLOOKUP(A103,'Données projet'!$A$113:$I$133,9,0)</f>
        <v>8.3000000000000007</v>
      </c>
      <c r="BX103" s="12">
        <f t="array" ref="BX103">INDEX(BW:BW,MIN(IF(ISNUMBER(BW103:BW299),ROW(BW103:BW299),"")))</f>
        <v>8.3000000000000007</v>
      </c>
      <c r="BY103" s="12">
        <f>IF('Données projet'!$A$114&gt;35,BY102+BX103-CG102,IF(A103&lt;'Données projet'!$A$114,$BV$205^A103,IF(A103='Données projet'!$A$114,'Données projet'!$B$114,BY102+BX103-CG102)))</f>
        <v>407.90000000000003</v>
      </c>
      <c r="BZ103" s="13">
        <f>BY103*VLOOKUP('Données projet'!$B$12,Paramètres!$A$1:$I$89,3,0)*VLOOKUP('Données projet'!$B$12,Paramètres!$A$1:$I$89,5,0)</f>
        <v>190.8972</v>
      </c>
      <c r="CA103" s="13">
        <f t="shared" si="93"/>
        <v>47.738256614056887</v>
      </c>
      <c r="CB103" s="20">
        <f t="shared" si="64"/>
        <v>415.62342026948232</v>
      </c>
      <c r="CC103" s="59">
        <f t="shared" si="65"/>
        <v>708.95675360281564</v>
      </c>
      <c r="CD103" s="59">
        <f ca="1">AVERAGE(OFFSET($CC$3,0,0,'Données projet'!$E$12+1,1))-AVERAGE(OFFSET($H$3,0,0,'Données projet'!$E$12+1,1))</f>
        <v>123.60520571614535</v>
      </c>
      <c r="CE103" s="59">
        <f t="shared" si="94"/>
        <v>119.00926870519527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46.3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0.21682563367713703</v>
      </c>
      <c r="CL103" s="21">
        <f>EXP(-LN(2)/25)*CL102+(1-EXP(-LN(2)/25))/(LN(2)/25)*Calculateur!CG103*Calculateur!CI103*VLOOKUP('Données projet'!$B$12,Paramètres!$A$1:$I$89,3,0)*0.475*44/12</f>
        <v>0.6858817862846851</v>
      </c>
      <c r="CM103" s="21">
        <f>EXP(-LN(2)/2)*CM102+(1-EXP(-LN(2)/2))/(LN(2)/2)*CG103*CJ103*VLOOKUP('Données projet'!$B$12,Paramètres!$A$1:$I$89,3,0)*0.475*44/12</f>
        <v>1.7793239359402056E-10</v>
      </c>
      <c r="CN103" s="22">
        <f t="shared" si="66"/>
        <v>0.90270742013975458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229.99999999999997</v>
      </c>
      <c r="CU103" s="17">
        <f>CT103*VLOOKUP('Données projet'!$B$13,Paramètres!$A$1:$I$89,3,0)*VLOOKUP('Données projet'!$B$13,Paramètres!$A$1:$I$89,5,0)</f>
        <v>240.39599999999999</v>
      </c>
      <c r="CV103" s="13">
        <f t="shared" si="95"/>
        <v>58.524723634421605</v>
      </c>
      <c r="CW103" s="20">
        <f t="shared" si="67"/>
        <v>520.62026032995107</v>
      </c>
      <c r="CX103" s="59">
        <f t="shared" si="68"/>
        <v>813.95359366328444</v>
      </c>
      <c r="CY103" s="59">
        <f ca="1">AVERAGE(OFFSET($CX$3,0,0,'Données projet'!$E$13+1,1))-AVERAGE(OFFSET($H$3,0,0,'Données projet'!$E$13+1,1))</f>
        <v>177.94336949486529</v>
      </c>
      <c r="CZ103" s="59">
        <f t="shared" si="96"/>
        <v>65.559373432574603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3.3992364478763198E-14</v>
      </c>
      <c r="DQ103" s="13">
        <f t="shared" si="97"/>
        <v>5.790027782444094E-13</v>
      </c>
      <c r="DR103" s="20">
        <f t="shared" si="70"/>
        <v>1.0676332069095257E-12</v>
      </c>
      <c r="DS103" s="59">
        <f t="shared" si="71"/>
        <v>293.33333333333439</v>
      </c>
      <c r="DT103" s="59">
        <f ca="1">AVERAGE(OFFSET($DS$3,0,0,'Données projet'!$E$14+1,1))-AVERAGE(OFFSET($H$3,0,0,'Données projet'!$E$14+1,1))</f>
        <v>165.39579887388538</v>
      </c>
      <c r="DU103" s="59">
        <f t="shared" si="98"/>
        <v>155.89639262545802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1.04664299047096</v>
      </c>
      <c r="EC103" s="21">
        <f>EXP(-LN(2)/2)*EC102+(1-EXP(-LN(2)/2))/(LN(2)/2)*DW103*DZ103*VLOOKUP('Données projet'!$B$14,Paramètres!$A$1:$I$89,3,0)*0.475*44/12</f>
        <v>4.0396220677581592E-10</v>
      </c>
      <c r="ED103" s="22">
        <f t="shared" si="72"/>
        <v>1.0466429908749222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-1.1368683772161603E-12</v>
      </c>
      <c r="EK103" s="17">
        <f>EJ103*VLOOKUP('Données projet'!$B$15,Paramètres!$A$1:$I$89,3,0)*VLOOKUP('Données projet'!$B$15,Paramètres!$A$1:$I$89,5,0)</f>
        <v>-5.4683368944097316E-13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252.30925789500111</v>
      </c>
      <c r="EP103" s="59">
        <f t="shared" si="100"/>
        <v>213.96033794804805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1.1581106680655482</v>
      </c>
      <c r="EW103" s="21">
        <f>EXP(-LN(2)/25)*EW102+(1-EXP(-LN(2)/25))/(LN(2)/25)*Calculateur!ER103*Calculateur!ET103*VLOOKUP('Données projet'!$B$15,Paramètres!$A$1:$I$89,3,0)*0.475*44/12</f>
        <v>1.3250818432911957</v>
      </c>
      <c r="EX103" s="21">
        <f>EXP(-LN(2)/2)*EX102+(1-EXP(-LN(2)/2))/(LN(2)/2)*ER103*EU103*VLOOKUP('Données projet'!$B$15,Paramètres!$A$1:$I$89,3,0)*0.475*44/12</f>
        <v>4.1844144600065448E-10</v>
      </c>
      <c r="EY103" s="22">
        <f t="shared" si="75"/>
        <v>2.4831925117751852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-1.1368683772161603E-12</v>
      </c>
      <c r="FF103" s="17">
        <f>FE103*VLOOKUP('Données projet'!$B$16,Paramètres!$A$1:$I$89,3,0)*VLOOKUP('Données projet'!$B$16,Paramètres!$A$1:$I$89,5,0)</f>
        <v>-5.4683368944097316E-13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252.30925789500111</v>
      </c>
      <c r="FK103" s="59">
        <f t="shared" si="102"/>
        <v>213.96033794804805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1.1581106680655482</v>
      </c>
      <c r="FR103" s="21">
        <f>EXP(-LN(2)/25)*FR102+(1-EXP(-LN(2)/25))/(LN(2)/25)*Calculateur!FM103*Calculateur!FO103*VLOOKUP('Données projet'!$B$16,Paramètres!$A$1:$I$89,3,0)*0.475*44/12</f>
        <v>1.3250818432911957</v>
      </c>
      <c r="FS103" s="21">
        <f>EXP(-LN(2)/2)*FS102+(1-EXP(-LN(2)/2))/(LN(2)/2)*FM103*FP103*VLOOKUP('Données projet'!$B$16,Paramètres!$A$1:$I$89,3,0)*0.475*44/12</f>
        <v>4.1844144600065448E-10</v>
      </c>
      <c r="FT103" s="22">
        <f t="shared" si="78"/>
        <v>2.4831925117751852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117.54638373164624</v>
      </c>
      <c r="GF103" s="59">
        <f t="shared" si="104"/>
        <v>133.0740262536583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0.5530746707822185</v>
      </c>
      <c r="GM103" s="21">
        <f>EXP(-LN(2)/25)*GM102+(1-EXP(-LN(2)/25))/(LN(2)/25)*Calculateur!GH103*Calculateur!GJ103*VLOOKUP('Données projet'!$B$17,Paramètres!$A$1:$I$89,3,0)*0.475*44/12</f>
        <v>1.2428326348604497</v>
      </c>
      <c r="GN103" s="21">
        <f>EXP(-LN(2)/2)*GN102+(1-EXP(-LN(2)/2))/(LN(2)/2)*GH103*GK103*VLOOKUP('Données projet'!$B$17,Paramètres!$A$1:$I$89,3,0)*0.475*44/12</f>
        <v>1.1774020417002438E-10</v>
      </c>
      <c r="GO103" s="21">
        <f t="shared" si="81"/>
        <v>1.7959073057604085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2.8421709430404007E-14</v>
      </c>
      <c r="GV103" s="17">
        <f>GU103*VLOOKUP('Données projet'!$B$18,Paramètres!$A$1:$I$89,3,0)*VLOOKUP('Données projet'!$B$18,Paramètres!$A$1:$I$89,5,0)</f>
        <v>1.3567387213697657E-14</v>
      </c>
      <c r="GW103" s="13">
        <f t="shared" si="105"/>
        <v>2.5717320947985821E-13</v>
      </c>
      <c r="GX103" s="20">
        <f t="shared" si="82"/>
        <v>4.7153987257460977E-13</v>
      </c>
      <c r="GY103" s="59">
        <f t="shared" si="83"/>
        <v>293.33333333333377</v>
      </c>
      <c r="GZ103" s="59">
        <f ca="1">AVERAGE(OFFSET($GY$3,0,0,'Données projet'!$E$18+1,1))-AVERAGE(OFFSET($H$3,0,0,'Données projet'!$E$18+1,1))</f>
        <v>43.147469606759159</v>
      </c>
      <c r="HA103" s="59">
        <f t="shared" si="106"/>
        <v>147.46995307968473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9.0155126915274941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1.6041433474636562E-11</v>
      </c>
      <c r="HJ103" s="22">
        <f t="shared" si="84"/>
        <v>9.0155126915435364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3.1</v>
      </c>
      <c r="N104" s="13">
        <f>IF('Données projet'!$A$36&gt;35,N103+M104-V103,IF(A104&lt;'Données projet'!$A$36,$K$205^A104,IF(A104='Données projet'!$A$36,'Données projet'!$B$36,N103+M104-V103)))</f>
        <v>205.09999999999997</v>
      </c>
      <c r="O104" s="13">
        <f>N104*VLOOKUP('Données projet'!$B$9,Paramètres!$A$1:$I$89,3,0)*VLOOKUP('Données projet'!$B$9,Paramètres!$A$1:$I$89,5,0)</f>
        <v>185.57447999999997</v>
      </c>
      <c r="P104" s="13">
        <f t="shared" si="87"/>
        <v>46.560195221199436</v>
      </c>
      <c r="Q104" s="20">
        <f t="shared" si="107"/>
        <v>404.30122601025568</v>
      </c>
      <c r="R104" s="59">
        <f t="shared" si="55"/>
        <v>697.63455934358899</v>
      </c>
      <c r="S104" s="59">
        <f ca="1">AVERAGE(OFFSET($R$3,0,0,'Données projet'!$E$9+1,1))-AVERAGE(OFFSET($H$3,0,0,'Données projet'!$E$9+1,1))</f>
        <v>138.8931001150624</v>
      </c>
      <c r="T104" s="59">
        <f t="shared" si="88"/>
        <v>48.964659354096625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-7.4487616075202836E-14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191.94797389630673</v>
      </c>
      <c r="AO104" s="59">
        <f t="shared" si="90"/>
        <v>273.52540822767878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1.9619773100052951</v>
      </c>
      <c r="AW104" s="21">
        <f>EXP(-LN(2)/2)*AW103+(1-EXP(-LN(2)/2))/(LN(2)/2)*AQ104*AT104*VLOOKUP('Données projet'!$B$10,Paramètres!$A$1:$I$89,3,0)*0.475*44/12</f>
        <v>4.7750780169142953E-10</v>
      </c>
      <c r="AX104" s="21">
        <f t="shared" si="60"/>
        <v>2.5930204251284525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3.5470293369144201E-14</v>
      </c>
      <c r="BF104" s="13">
        <f t="shared" si="91"/>
        <v>6.0119115841663204E-13</v>
      </c>
      <c r="BG104" s="20">
        <f t="shared" si="61"/>
        <v>1.1088520285268936E-12</v>
      </c>
      <c r="BH104" s="59">
        <f t="shared" si="62"/>
        <v>293.33333333333445</v>
      </c>
      <c r="BI104" s="59">
        <f ca="1">AVERAGE(OFFSET($BH$3,0,0,'Données projet'!$E$11+1,1))-AVERAGE(OFFSET($H$3,0,0,'Données projet'!$E$11+1,1))</f>
        <v>162.91481796710048</v>
      </c>
      <c r="BJ104" s="59">
        <f t="shared" si="92"/>
        <v>182.56192390367823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0.68169698806431711</v>
      </c>
      <c r="BQ104" s="21">
        <f>EXP(-LN(2)/25)*BQ103+(1-EXP(-LN(2)/25))/(LN(2)/25)*Calculateur!BL104*Calculateur!BN104*VLOOKUP('Données projet'!$B$11,Paramètres!$A$1:$I$89,3,0)*0.475*44/12</f>
        <v>2.1338225986350681</v>
      </c>
      <c r="BR104" s="21">
        <f>EXP(-LN(2)/2)*BR103+(1-EXP(-LN(2)/2))/(LN(2)/2)*BL104*BO104*VLOOKUP('Données projet'!$B$11,Paramètres!$A$1:$I$89,3,0)*0.475*44/12</f>
        <v>3.6980804345025491E-10</v>
      </c>
      <c r="BS104" s="22">
        <f t="shared" si="63"/>
        <v>2.8155195870691934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8.6999999999999993</v>
      </c>
      <c r="BY104" s="12">
        <f>IF('Données projet'!$A$114&gt;35,BY103+BX104-CG103,IF(A104&lt;'Données projet'!$A$114,$BV$205^A104,IF(A104='Données projet'!$A$114,'Données projet'!$B$114,BY103+BX104-CG103)))</f>
        <v>370.3</v>
      </c>
      <c r="BZ104" s="13">
        <f>BY104*VLOOKUP('Données projet'!$B$12,Paramètres!$A$1:$I$89,3,0)*VLOOKUP('Données projet'!$B$12,Paramètres!$A$1:$I$89,5,0)</f>
        <v>173.3004</v>
      </c>
      <c r="CA104" s="13">
        <f t="shared" si="93"/>
        <v>43.82837416766705</v>
      </c>
      <c r="CB104" s="20">
        <f t="shared" si="64"/>
        <v>378.1659483420201</v>
      </c>
      <c r="CC104" s="59">
        <f t="shared" si="65"/>
        <v>671.49928167535336</v>
      </c>
      <c r="CD104" s="59">
        <f ca="1">AVERAGE(OFFSET($CC$3,0,0,'Données projet'!$E$12+1,1))-AVERAGE(OFFSET($H$3,0,0,'Données projet'!$E$12+1,1))</f>
        <v>123.60520571614535</v>
      </c>
      <c r="CE104" s="59">
        <f t="shared" si="94"/>
        <v>119.00926870519527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0.21257381525130625</v>
      </c>
      <c r="CL104" s="21">
        <f>EXP(-LN(2)/25)*CL103+(1-EXP(-LN(2)/25))/(LN(2)/25)*Calculateur!CG104*Calculateur!CI104*VLOOKUP('Données projet'!$B$12,Paramètres!$A$1:$I$89,3,0)*0.475*44/12</f>
        <v>0.66712631276977485</v>
      </c>
      <c r="CM104" s="21">
        <f>EXP(-LN(2)/2)*CM103+(1-EXP(-LN(2)/2))/(LN(2)/2)*CG104*CJ104*VLOOKUP('Données projet'!$B$12,Paramètres!$A$1:$I$89,3,0)*0.475*44/12</f>
        <v>1.2581720210308574E-10</v>
      </c>
      <c r="CN104" s="22">
        <f t="shared" si="66"/>
        <v>0.87970012814689835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3.1</v>
      </c>
      <c r="CT104" s="12">
        <f>IF('Données projet'!$A$140&gt;35,CT103+CS104-DB103,IF(A104&lt;'Données projet'!$A$140,$CQ$205^A104,IF(A104='Données projet'!$A$140,'Données projet'!$B$140,CT103+CS104-DB103)))</f>
        <v>205.09999999999997</v>
      </c>
      <c r="CU104" s="17">
        <f>CT104*VLOOKUP('Données projet'!$B$13,Paramètres!$A$1:$I$89,3,0)*VLOOKUP('Données projet'!$B$13,Paramètres!$A$1:$I$89,5,0)</f>
        <v>214.37051999999997</v>
      </c>
      <c r="CV104" s="13">
        <f t="shared" si="95"/>
        <v>52.889506306243675</v>
      </c>
      <c r="CW104" s="20">
        <f t="shared" si="67"/>
        <v>465.47787915004091</v>
      </c>
      <c r="CX104" s="59">
        <f t="shared" si="68"/>
        <v>758.81121248337422</v>
      </c>
      <c r="CY104" s="59">
        <f ca="1">AVERAGE(OFFSET($CX$3,0,0,'Données projet'!$E$13+1,1))-AVERAGE(OFFSET($H$3,0,0,'Données projet'!$E$13+1,1))</f>
        <v>177.94336949486529</v>
      </c>
      <c r="CZ104" s="59">
        <f t="shared" si="96"/>
        <v>65.559373432574603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3.3992364478763198E-14</v>
      </c>
      <c r="DQ104" s="13">
        <f t="shared" si="97"/>
        <v>5.790027782444094E-13</v>
      </c>
      <c r="DR104" s="20">
        <f t="shared" si="70"/>
        <v>1.0676332069095257E-12</v>
      </c>
      <c r="DS104" s="59">
        <f t="shared" si="71"/>
        <v>293.33333333333439</v>
      </c>
      <c r="DT104" s="59">
        <f ca="1">AVERAGE(OFFSET($DS$3,0,0,'Données projet'!$E$14+1,1))-AVERAGE(OFFSET($H$3,0,0,'Données projet'!$E$14+1,1))</f>
        <v>165.39579887388538</v>
      </c>
      <c r="DU104" s="59">
        <f t="shared" si="98"/>
        <v>155.89639262545802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1.0180224828559687</v>
      </c>
      <c r="EC104" s="21">
        <f>EXP(-LN(2)/2)*EC103+(1-EXP(-LN(2)/2))/(LN(2)/2)*DW104*DZ104*VLOOKUP('Données projet'!$B$14,Paramètres!$A$1:$I$89,3,0)*0.475*44/12</f>
        <v>2.8564441575426172E-10</v>
      </c>
      <c r="ED104" s="22">
        <f t="shared" si="72"/>
        <v>1.0180224831416131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-1.1368683772161603E-12</v>
      </c>
      <c r="EK104" s="17">
        <f>EJ104*VLOOKUP('Données projet'!$B$15,Paramètres!$A$1:$I$89,3,0)*VLOOKUP('Données projet'!$B$15,Paramètres!$A$1:$I$89,5,0)</f>
        <v>-5.4683368944097316E-13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252.30925789500111</v>
      </c>
      <c r="EP104" s="59">
        <f t="shared" si="100"/>
        <v>213.96033794804805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1.1354008242425413</v>
      </c>
      <c r="EW104" s="21">
        <f>EXP(-LN(2)/25)*EW103+(1-EXP(-LN(2)/25))/(LN(2)/25)*Calculateur!ER104*Calculateur!ET104*VLOOKUP('Données projet'!$B$15,Paramètres!$A$1:$I$89,3,0)*0.475*44/12</f>
        <v>1.2888474106033723</v>
      </c>
      <c r="EX104" s="21">
        <f>EXP(-LN(2)/2)*EX103+(1-EXP(-LN(2)/2))/(LN(2)/2)*ER104*EU104*VLOOKUP('Données projet'!$B$15,Paramètres!$A$1:$I$89,3,0)*0.475*44/12</f>
        <v>2.9588278399656732E-10</v>
      </c>
      <c r="EY104" s="22">
        <f t="shared" si="75"/>
        <v>2.4242482351417967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-1.1368683772161603E-12</v>
      </c>
      <c r="FF104" s="17">
        <f>FE104*VLOOKUP('Données projet'!$B$16,Paramètres!$A$1:$I$89,3,0)*VLOOKUP('Données projet'!$B$16,Paramètres!$A$1:$I$89,5,0)</f>
        <v>-5.4683368944097316E-13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252.30925789500111</v>
      </c>
      <c r="FK104" s="59">
        <f t="shared" si="102"/>
        <v>213.96033794804805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1.1354008242425413</v>
      </c>
      <c r="FR104" s="21">
        <f>EXP(-LN(2)/25)*FR103+(1-EXP(-LN(2)/25))/(LN(2)/25)*Calculateur!FM104*Calculateur!FO104*VLOOKUP('Données projet'!$B$16,Paramètres!$A$1:$I$89,3,0)*0.475*44/12</f>
        <v>1.2888474106033723</v>
      </c>
      <c r="FS104" s="21">
        <f>EXP(-LN(2)/2)*FS103+(1-EXP(-LN(2)/2))/(LN(2)/2)*FM104*FP104*VLOOKUP('Données projet'!$B$16,Paramètres!$A$1:$I$89,3,0)*0.475*44/12</f>
        <v>2.9588278399656732E-10</v>
      </c>
      <c r="FT104" s="22">
        <f t="shared" si="78"/>
        <v>2.4242482351417967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117.54638373164624</v>
      </c>
      <c r="GF104" s="59">
        <f t="shared" si="104"/>
        <v>133.0740262536583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0.54222921383041855</v>
      </c>
      <c r="GM104" s="21">
        <f>EXP(-LN(2)/25)*GM103+(1-EXP(-LN(2)/25))/(LN(2)/25)*Calculateur!GH104*Calculateur!GJ104*VLOOKUP('Données projet'!$B$17,Paramètres!$A$1:$I$89,3,0)*0.475*44/12</f>
        <v>1.2088473111024629</v>
      </c>
      <c r="GN104" s="21">
        <f>EXP(-LN(2)/2)*GN103+(1-EXP(-LN(2)/2))/(LN(2)/2)*GH104*GK104*VLOOKUP('Données projet'!$B$17,Paramètres!$A$1:$I$89,3,0)*0.475*44/12</f>
        <v>8.3254896786912858E-11</v>
      </c>
      <c r="GO104" s="21">
        <f t="shared" si="81"/>
        <v>1.7510765250161364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2.8421709430404007E-14</v>
      </c>
      <c r="GV104" s="17">
        <f>GU104*VLOOKUP('Données projet'!$B$18,Paramètres!$A$1:$I$89,3,0)*VLOOKUP('Données projet'!$B$18,Paramètres!$A$1:$I$89,5,0)</f>
        <v>1.3567387213697657E-14</v>
      </c>
      <c r="GW104" s="13">
        <f t="shared" si="105"/>
        <v>2.5717320947985821E-13</v>
      </c>
      <c r="GX104" s="20">
        <f t="shared" si="82"/>
        <v>4.7153987257460977E-13</v>
      </c>
      <c r="GY104" s="59">
        <f t="shared" si="83"/>
        <v>293.33333333333377</v>
      </c>
      <c r="GZ104" s="59">
        <f ca="1">AVERAGE(OFFSET($GY$3,0,0,'Données projet'!$E$18+1,1))-AVERAGE(OFFSET($H$3,0,0,'Données projet'!$E$18+1,1))</f>
        <v>43.147469606759159</v>
      </c>
      <c r="HA104" s="59">
        <f t="shared" si="106"/>
        <v>147.46995307968473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8.8387239865664089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1.1343006389868395E-11</v>
      </c>
      <c r="HJ104" s="22">
        <f t="shared" si="84"/>
        <v>8.8387239865777527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3.1</v>
      </c>
      <c r="N105" s="13">
        <f>IF('Données projet'!$A$36&gt;35,N104+M105-V104,IF(A105&lt;'Données projet'!$A$36,$K$205^A105,IF(A105='Données projet'!$A$36,'Données projet'!$B$36,N104+M105-V104)))</f>
        <v>208.19999999999996</v>
      </c>
      <c r="O105" s="13">
        <f>N105*VLOOKUP('Données projet'!$B$9,Paramètres!$A$1:$I$89,3,0)*VLOOKUP('Données projet'!$B$9,Paramètres!$A$1:$I$89,5,0)</f>
        <v>188.37935999999996</v>
      </c>
      <c r="P105" s="13">
        <f t="shared" si="87"/>
        <v>47.181473920005914</v>
      </c>
      <c r="Q105" s="20">
        <f t="shared" si="107"/>
        <v>410.26845241067684</v>
      </c>
      <c r="R105" s="59">
        <f t="shared" si="55"/>
        <v>703.60178574401016</v>
      </c>
      <c r="S105" s="59">
        <f ca="1">AVERAGE(OFFSET($R$3,0,0,'Données projet'!$E$9+1,1))-AVERAGE(OFFSET($H$3,0,0,'Données projet'!$E$9+1,1))</f>
        <v>138.8931001150624</v>
      </c>
      <c r="T105" s="59">
        <f t="shared" si="88"/>
        <v>48.964659354096625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-7.4487616075202836E-14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191.94797389630673</v>
      </c>
      <c r="AO105" s="59">
        <f t="shared" si="90"/>
        <v>273.52540822767878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1.9083269372872977</v>
      </c>
      <c r="AW105" s="21">
        <f>EXP(-LN(2)/2)*AW104+(1-EXP(-LN(2)/2))/(LN(2)/2)*AQ105*AT105*VLOOKUP('Données projet'!$B$10,Paramètres!$A$1:$I$89,3,0)*0.475*44/12</f>
        <v>3.37649004645491E-10</v>
      </c>
      <c r="AX105" s="21">
        <f t="shared" si="60"/>
        <v>2.5269956816906896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3.5470293369144201E-14</v>
      </c>
      <c r="BF105" s="13">
        <f t="shared" si="91"/>
        <v>6.0119115841663204E-13</v>
      </c>
      <c r="BG105" s="20">
        <f t="shared" si="61"/>
        <v>1.1088520285268936E-12</v>
      </c>
      <c r="BH105" s="59">
        <f t="shared" si="62"/>
        <v>293.33333333333445</v>
      </c>
      <c r="BI105" s="59">
        <f ca="1">AVERAGE(OFFSET($BH$3,0,0,'Données projet'!$E$11+1,1))-AVERAGE(OFFSET($H$3,0,0,'Données projet'!$E$11+1,1))</f>
        <v>162.91481796710048</v>
      </c>
      <c r="BJ105" s="59">
        <f t="shared" si="92"/>
        <v>182.56192390367823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0.66832932592248229</v>
      </c>
      <c r="BQ105" s="21">
        <f>EXP(-LN(2)/25)*BQ104+(1-EXP(-LN(2)/25))/(LN(2)/25)*Calculateur!BL105*Calculateur!BN105*VLOOKUP('Données projet'!$B$11,Paramètres!$A$1:$I$89,3,0)*0.475*44/12</f>
        <v>2.0754731074625385</v>
      </c>
      <c r="BR105" s="21">
        <f>EXP(-LN(2)/2)*BR104+(1-EXP(-LN(2)/2))/(LN(2)/2)*BL105*BO105*VLOOKUP('Données projet'!$B$11,Paramètres!$A$1:$I$89,3,0)*0.475*44/12</f>
        <v>2.6149377526100465E-10</v>
      </c>
      <c r="BS105" s="22">
        <f t="shared" si="63"/>
        <v>2.7438024336465148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8.6999999999999993</v>
      </c>
      <c r="BY105" s="12">
        <f>IF('Données projet'!$A$114&gt;35,BY104+BX105-CG104,IF(A105&lt;'Données projet'!$A$114,$BV$205^A105,IF(A105='Données projet'!$A$114,'Données projet'!$B$114,BY104+BX105-CG104)))</f>
        <v>379</v>
      </c>
      <c r="BZ105" s="13">
        <f>BY105*VLOOKUP('Données projet'!$B$12,Paramètres!$A$1:$I$89,3,0)*VLOOKUP('Données projet'!$B$12,Paramètres!$A$1:$I$89,5,0)</f>
        <v>177.37200000000001</v>
      </c>
      <c r="CA105" s="13">
        <f t="shared" si="93"/>
        <v>44.737005048641883</v>
      </c>
      <c r="CB105" s="20">
        <f t="shared" si="64"/>
        <v>386.83985045971798</v>
      </c>
      <c r="CC105" s="59">
        <f t="shared" si="65"/>
        <v>680.17318379305129</v>
      </c>
      <c r="CD105" s="59">
        <f ca="1">AVERAGE(OFFSET($CC$3,0,0,'Données projet'!$E$12+1,1))-AVERAGE(OFFSET($H$3,0,0,'Données projet'!$E$12+1,1))</f>
        <v>123.60520571614535</v>
      </c>
      <c r="CE105" s="59">
        <f t="shared" si="94"/>
        <v>119.00926870519527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0.20840537239145285</v>
      </c>
      <c r="CL105" s="21">
        <f>EXP(-LN(2)/25)*CL104+(1-EXP(-LN(2)/25))/(LN(2)/25)*Calculateur!CG105*Calculateur!CI105*VLOOKUP('Données projet'!$B$12,Paramètres!$A$1:$I$89,3,0)*0.475*44/12</f>
        <v>0.64888370866443734</v>
      </c>
      <c r="CM105" s="21">
        <f>EXP(-LN(2)/2)*CM104+(1-EXP(-LN(2)/2))/(LN(2)/2)*CG105*CJ105*VLOOKUP('Données projet'!$B$12,Paramètres!$A$1:$I$89,3,0)*0.475*44/12</f>
        <v>8.8966196797010278E-11</v>
      </c>
      <c r="CN105" s="22">
        <f t="shared" si="66"/>
        <v>0.85728908114485636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3.1</v>
      </c>
      <c r="CT105" s="12">
        <f>IF('Données projet'!$A$140&gt;35,CT104+CS105-DB104,IF(A105&lt;'Données projet'!$A$140,$CQ$205^A105,IF(A105='Données projet'!$A$140,'Données projet'!$B$140,CT104+CS105-DB104)))</f>
        <v>208.19999999999996</v>
      </c>
      <c r="CU105" s="17">
        <f>CT105*VLOOKUP('Données projet'!$B$13,Paramètres!$A$1:$I$89,3,0)*VLOOKUP('Données projet'!$B$13,Paramètres!$A$1:$I$89,5,0)</f>
        <v>217.61063999999996</v>
      </c>
      <c r="CV105" s="13">
        <f t="shared" si="95"/>
        <v>53.595240539151249</v>
      </c>
      <c r="CW105" s="20">
        <f t="shared" si="67"/>
        <v>472.35024193902171</v>
      </c>
      <c r="CX105" s="59">
        <f t="shared" si="68"/>
        <v>765.68357527235503</v>
      </c>
      <c r="CY105" s="59">
        <f ca="1">AVERAGE(OFFSET($CX$3,0,0,'Données projet'!$E$13+1,1))-AVERAGE(OFFSET($H$3,0,0,'Données projet'!$E$13+1,1))</f>
        <v>177.94336949486529</v>
      </c>
      <c r="CZ105" s="59">
        <f t="shared" si="96"/>
        <v>65.559373432574603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3.3992364478763198E-14</v>
      </c>
      <c r="DQ105" s="13">
        <f t="shared" si="97"/>
        <v>5.790027782444094E-13</v>
      </c>
      <c r="DR105" s="20">
        <f t="shared" si="70"/>
        <v>1.0676332069095257E-12</v>
      </c>
      <c r="DS105" s="59">
        <f t="shared" si="71"/>
        <v>293.33333333333439</v>
      </c>
      <c r="DT105" s="59">
        <f ca="1">AVERAGE(OFFSET($DS$3,0,0,'Données projet'!$E$14+1,1))-AVERAGE(OFFSET($H$3,0,0,'Données projet'!$E$14+1,1))</f>
        <v>165.39579887388538</v>
      </c>
      <c r="DU105" s="59">
        <f t="shared" si="98"/>
        <v>155.89639262545802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0.99018460452679657</v>
      </c>
      <c r="EC105" s="21">
        <f>EXP(-LN(2)/2)*EC104+(1-EXP(-LN(2)/2))/(LN(2)/2)*DW105*DZ105*VLOOKUP('Données projet'!$B$14,Paramètres!$A$1:$I$89,3,0)*0.475*44/12</f>
        <v>2.0198110338790796E-10</v>
      </c>
      <c r="ED105" s="22">
        <f t="shared" si="72"/>
        <v>0.99018460472877767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-1.1368683772161603E-12</v>
      </c>
      <c r="EK105" s="17">
        <f>EJ105*VLOOKUP('Données projet'!$B$15,Paramètres!$A$1:$I$89,3,0)*VLOOKUP('Données projet'!$B$15,Paramètres!$A$1:$I$89,5,0)</f>
        <v>-5.4683368944097316E-13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252.30925789500111</v>
      </c>
      <c r="EP105" s="59">
        <f t="shared" si="100"/>
        <v>213.96033794804805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1.1131363066052666</v>
      </c>
      <c r="EW105" s="21">
        <f>EXP(-LN(2)/25)*EW104+(1-EXP(-LN(2)/25))/(LN(2)/25)*Calculateur!ER105*Calculateur!ET105*VLOOKUP('Données projet'!$B$15,Paramètres!$A$1:$I$89,3,0)*0.475*44/12</f>
        <v>1.2536038103828835</v>
      </c>
      <c r="EX105" s="21">
        <f>EXP(-LN(2)/2)*EX104+(1-EXP(-LN(2)/2))/(LN(2)/2)*ER105*EU105*VLOOKUP('Données projet'!$B$15,Paramètres!$A$1:$I$89,3,0)*0.475*44/12</f>
        <v>2.0922072300032724E-10</v>
      </c>
      <c r="EY105" s="22">
        <f t="shared" si="75"/>
        <v>2.3667401171973705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-1.1368683772161603E-12</v>
      </c>
      <c r="FF105" s="17">
        <f>FE105*VLOOKUP('Données projet'!$B$16,Paramètres!$A$1:$I$89,3,0)*VLOOKUP('Données projet'!$B$16,Paramètres!$A$1:$I$89,5,0)</f>
        <v>-5.4683368944097316E-13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252.30925789500111</v>
      </c>
      <c r="FK105" s="59">
        <f t="shared" si="102"/>
        <v>213.96033794804805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1.1131363066052666</v>
      </c>
      <c r="FR105" s="21">
        <f>EXP(-LN(2)/25)*FR104+(1-EXP(-LN(2)/25))/(LN(2)/25)*Calculateur!FM105*Calculateur!FO105*VLOOKUP('Données projet'!$B$16,Paramètres!$A$1:$I$89,3,0)*0.475*44/12</f>
        <v>1.2536038103828835</v>
      </c>
      <c r="FS105" s="21">
        <f>EXP(-LN(2)/2)*FS104+(1-EXP(-LN(2)/2))/(LN(2)/2)*FM105*FP105*VLOOKUP('Données projet'!$B$16,Paramètres!$A$1:$I$89,3,0)*0.475*44/12</f>
        <v>2.0922072300032724E-10</v>
      </c>
      <c r="FT105" s="22">
        <f t="shared" si="78"/>
        <v>2.3667401171973705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117.54638373164624</v>
      </c>
      <c r="GF105" s="59">
        <f t="shared" si="104"/>
        <v>133.0740262536583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0.53159642967436793</v>
      </c>
      <c r="GM105" s="21">
        <f>EXP(-LN(2)/25)*GM104+(1-EXP(-LN(2)/25))/(LN(2)/25)*Calculateur!GH105*Calculateur!GJ105*VLOOKUP('Données projet'!$B$17,Paramètres!$A$1:$I$89,3,0)*0.475*44/12</f>
        <v>1.1757913178098489</v>
      </c>
      <c r="GN105" s="21">
        <f>EXP(-LN(2)/2)*GN104+(1-EXP(-LN(2)/2))/(LN(2)/2)*GH105*GK105*VLOOKUP('Données projet'!$B$17,Paramètres!$A$1:$I$89,3,0)*0.475*44/12</f>
        <v>5.8870102085012189E-11</v>
      </c>
      <c r="GO105" s="21">
        <f t="shared" si="81"/>
        <v>1.707387747543087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2.8421709430404007E-14</v>
      </c>
      <c r="GV105" s="17">
        <f>GU105*VLOOKUP('Données projet'!$B$18,Paramètres!$A$1:$I$89,3,0)*VLOOKUP('Données projet'!$B$18,Paramètres!$A$1:$I$89,5,0)</f>
        <v>1.3567387213697657E-14</v>
      </c>
      <c r="GW105" s="13">
        <f t="shared" si="105"/>
        <v>2.5717320947985821E-13</v>
      </c>
      <c r="GX105" s="20">
        <f t="shared" si="82"/>
        <v>4.7153987257460977E-13</v>
      </c>
      <c r="GY105" s="59">
        <f t="shared" si="83"/>
        <v>293.33333333333377</v>
      </c>
      <c r="GZ105" s="59">
        <f ca="1">AVERAGE(OFFSET($GY$3,0,0,'Données projet'!$E$18+1,1))-AVERAGE(OFFSET($H$3,0,0,'Données projet'!$E$18+1,1))</f>
        <v>43.147469606759159</v>
      </c>
      <c r="HA105" s="59">
        <f t="shared" si="106"/>
        <v>147.46995307968473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8.6654020002791476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8.0207167373182811E-12</v>
      </c>
      <c r="HJ105" s="22">
        <f t="shared" si="84"/>
        <v>8.6654020002871679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3.1</v>
      </c>
      <c r="N106" s="13">
        <f>IF('Données projet'!$A$36&gt;35,N105+M106-V105,IF(A106&lt;'Données projet'!$A$36,$K$205^A106,IF(A106='Données projet'!$A$36,'Données projet'!$B$36,N105+M106-V105)))</f>
        <v>211.29999999999995</v>
      </c>
      <c r="O106" s="13">
        <f>N106*VLOOKUP('Données projet'!$B$9,Paramètres!$A$1:$I$89,3,0)*VLOOKUP('Données projet'!$B$9,Paramètres!$A$1:$I$89,5,0)</f>
        <v>191.18423999999993</v>
      </c>
      <c r="P106" s="13">
        <f t="shared" si="87"/>
        <v>47.80167674561666</v>
      </c>
      <c r="Q106" s="20">
        <f t="shared" si="107"/>
        <v>416.23380499861554</v>
      </c>
      <c r="R106" s="59">
        <f t="shared" si="55"/>
        <v>709.56713833194885</v>
      </c>
      <c r="S106" s="59">
        <f ca="1">AVERAGE(OFFSET($R$3,0,0,'Données projet'!$E$9+1,1))-AVERAGE(OFFSET($H$3,0,0,'Données projet'!$E$9+1,1))</f>
        <v>138.8931001150624</v>
      </c>
      <c r="T106" s="59">
        <f t="shared" si="88"/>
        <v>48.964659354096625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-7.4487616075202836E-14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191.94797389630673</v>
      </c>
      <c r="AO106" s="59">
        <f t="shared" si="90"/>
        <v>273.52540822767878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1.8561436368326245</v>
      </c>
      <c r="AW106" s="21">
        <f>EXP(-LN(2)/2)*AW105+(1-EXP(-LN(2)/2))/(LN(2)/2)*AQ106*AT106*VLOOKUP('Données projet'!$B$10,Paramètres!$A$1:$I$89,3,0)*0.475*44/12</f>
        <v>2.3875390084571476E-10</v>
      </c>
      <c r="AX106" s="21">
        <f t="shared" si="60"/>
        <v>2.4626806644166654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3.5470293369144201E-14</v>
      </c>
      <c r="BF106" s="13">
        <f t="shared" si="91"/>
        <v>6.0119115841663204E-13</v>
      </c>
      <c r="BG106" s="20">
        <f t="shared" si="61"/>
        <v>1.1088520285268936E-12</v>
      </c>
      <c r="BH106" s="59">
        <f t="shared" si="62"/>
        <v>293.33333333333445</v>
      </c>
      <c r="BI106" s="59">
        <f ca="1">AVERAGE(OFFSET($BH$3,0,0,'Données projet'!$E$11+1,1))-AVERAGE(OFFSET($H$3,0,0,'Données projet'!$E$11+1,1))</f>
        <v>162.91481796710048</v>
      </c>
      <c r="BJ106" s="59">
        <f t="shared" si="92"/>
        <v>182.56192390367823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0.65522379548178</v>
      </c>
      <c r="BQ106" s="21">
        <f>EXP(-LN(2)/25)*BQ105+(1-EXP(-LN(2)/25))/(LN(2)/25)*Calculateur!BL106*Calculateur!BN106*VLOOKUP('Données projet'!$B$11,Paramètres!$A$1:$I$89,3,0)*0.475*44/12</f>
        <v>2.0187191861945881</v>
      </c>
      <c r="BR106" s="21">
        <f>EXP(-LN(2)/2)*BR105+(1-EXP(-LN(2)/2))/(LN(2)/2)*BL106*BO106*VLOOKUP('Données projet'!$B$11,Paramètres!$A$1:$I$89,3,0)*0.475*44/12</f>
        <v>1.8490402172512745E-10</v>
      </c>
      <c r="BS106" s="22">
        <f t="shared" si="63"/>
        <v>2.6739429818612721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8.6999999999999993</v>
      </c>
      <c r="BY106" s="12">
        <f>IF('Données projet'!$A$114&gt;35,BY105+BX106-CG105,IF(A106&lt;'Données projet'!$A$114,$BV$205^A106,IF(A106='Données projet'!$A$114,'Données projet'!$B$114,BY105+BX106-CG105)))</f>
        <v>387.7</v>
      </c>
      <c r="BZ106" s="13">
        <f>BY106*VLOOKUP('Données projet'!$B$12,Paramètres!$A$1:$I$89,3,0)*VLOOKUP('Données projet'!$B$12,Paramètres!$A$1:$I$89,5,0)</f>
        <v>181.4436</v>
      </c>
      <c r="CA106" s="13">
        <f t="shared" si="93"/>
        <v>45.64321110268957</v>
      </c>
      <c r="CB106" s="20">
        <f t="shared" si="64"/>
        <v>395.50952933718435</v>
      </c>
      <c r="CC106" s="59">
        <f t="shared" si="65"/>
        <v>688.84286267051766</v>
      </c>
      <c r="CD106" s="59">
        <f ca="1">AVERAGE(OFFSET($CC$3,0,0,'Données projet'!$E$12+1,1))-AVERAGE(OFFSET($H$3,0,0,'Données projet'!$E$12+1,1))</f>
        <v>123.60520571614535</v>
      </c>
      <c r="CE106" s="59">
        <f t="shared" si="94"/>
        <v>119.00926870519527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0.20431867015358207</v>
      </c>
      <c r="CL106" s="21">
        <f>EXP(-LN(2)/25)*CL105+(1-EXP(-LN(2)/25))/(LN(2)/25)*Calculateur!CG106*Calculateur!CI106*VLOOKUP('Données projet'!$B$12,Paramètres!$A$1:$I$89,3,0)*0.475*44/12</f>
        <v>0.63113994952769714</v>
      </c>
      <c r="CM106" s="21">
        <f>EXP(-LN(2)/2)*CM105+(1-EXP(-LN(2)/2))/(LN(2)/2)*CG106*CJ106*VLOOKUP('Données projet'!$B$12,Paramètres!$A$1:$I$89,3,0)*0.475*44/12</f>
        <v>6.2908601051542871E-11</v>
      </c>
      <c r="CN106" s="22">
        <f t="shared" si="66"/>
        <v>0.83545861974418778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3.1</v>
      </c>
      <c r="CT106" s="12">
        <f>IF('Données projet'!$A$140&gt;35,CT105+CS106-DB105,IF(A106&lt;'Données projet'!$A$140,$CQ$205^A106,IF(A106='Données projet'!$A$140,'Données projet'!$B$140,CT105+CS106-DB105)))</f>
        <v>211.29999999999995</v>
      </c>
      <c r="CU106" s="17">
        <f>CT106*VLOOKUP('Données projet'!$B$13,Paramètres!$A$1:$I$89,3,0)*VLOOKUP('Données projet'!$B$13,Paramètres!$A$1:$I$89,5,0)</f>
        <v>220.85075999999995</v>
      </c>
      <c r="CV106" s="13">
        <f t="shared" si="95"/>
        <v>54.299752646552356</v>
      </c>
      <c r="CW106" s="20">
        <f t="shared" si="67"/>
        <v>479.22047619274525</v>
      </c>
      <c r="CX106" s="59">
        <f t="shared" si="68"/>
        <v>772.55380952607857</v>
      </c>
      <c r="CY106" s="59">
        <f ca="1">AVERAGE(OFFSET($CX$3,0,0,'Données projet'!$E$13+1,1))-AVERAGE(OFFSET($H$3,0,0,'Données projet'!$E$13+1,1))</f>
        <v>177.94336949486529</v>
      </c>
      <c r="CZ106" s="59">
        <f t="shared" si="96"/>
        <v>65.559373432574603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3.3992364478763198E-14</v>
      </c>
      <c r="DQ106" s="13">
        <f t="shared" si="97"/>
        <v>5.790027782444094E-13</v>
      </c>
      <c r="DR106" s="20">
        <f t="shared" si="70"/>
        <v>1.0676332069095257E-12</v>
      </c>
      <c r="DS106" s="59">
        <f t="shared" si="71"/>
        <v>293.33333333333439</v>
      </c>
      <c r="DT106" s="59">
        <f ca="1">AVERAGE(OFFSET($DS$3,0,0,'Données projet'!$E$14+1,1))-AVERAGE(OFFSET($H$3,0,0,'Données projet'!$E$14+1,1))</f>
        <v>165.39579887388538</v>
      </c>
      <c r="DU106" s="59">
        <f t="shared" si="98"/>
        <v>155.89639262545802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0.96310795444446606</v>
      </c>
      <c r="EC106" s="21">
        <f>EXP(-LN(2)/2)*EC105+(1-EXP(-LN(2)/2))/(LN(2)/2)*DW106*DZ106*VLOOKUP('Données projet'!$B$14,Paramètres!$A$1:$I$89,3,0)*0.475*44/12</f>
        <v>1.4282220787713086E-10</v>
      </c>
      <c r="ED106" s="22">
        <f t="shared" si="72"/>
        <v>0.96310795458728826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-1.1368683772161603E-12</v>
      </c>
      <c r="EK106" s="17">
        <f>EJ106*VLOOKUP('Données projet'!$B$15,Paramètres!$A$1:$I$89,3,0)*VLOOKUP('Données projet'!$B$15,Paramètres!$A$1:$I$89,5,0)</f>
        <v>-5.4683368944097316E-13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252.30925789500111</v>
      </c>
      <c r="EP106" s="59">
        <f t="shared" si="100"/>
        <v>213.96033794804805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1.0913083825788441</v>
      </c>
      <c r="EW106" s="21">
        <f>EXP(-LN(2)/25)*EW105+(1-EXP(-LN(2)/25))/(LN(2)/25)*Calculateur!ER106*Calculateur!ET106*VLOOKUP('Données projet'!$B$15,Paramètres!$A$1:$I$89,3,0)*0.475*44/12</f>
        <v>1.2193239482638043</v>
      </c>
      <c r="EX106" s="21">
        <f>EXP(-LN(2)/2)*EX105+(1-EXP(-LN(2)/2))/(LN(2)/2)*ER106*EU106*VLOOKUP('Données projet'!$B$15,Paramètres!$A$1:$I$89,3,0)*0.475*44/12</f>
        <v>1.4794139199828366E-10</v>
      </c>
      <c r="EY106" s="22">
        <f t="shared" si="75"/>
        <v>2.3106323309905896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-1.1368683772161603E-12</v>
      </c>
      <c r="FF106" s="17">
        <f>FE106*VLOOKUP('Données projet'!$B$16,Paramètres!$A$1:$I$89,3,0)*VLOOKUP('Données projet'!$B$16,Paramètres!$A$1:$I$89,5,0)</f>
        <v>-5.4683368944097316E-13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252.30925789500111</v>
      </c>
      <c r="FK106" s="59">
        <f t="shared" si="102"/>
        <v>213.96033794804805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1.0913083825788441</v>
      </c>
      <c r="FR106" s="21">
        <f>EXP(-LN(2)/25)*FR105+(1-EXP(-LN(2)/25))/(LN(2)/25)*Calculateur!FM106*Calculateur!FO106*VLOOKUP('Données projet'!$B$16,Paramètres!$A$1:$I$89,3,0)*0.475*44/12</f>
        <v>1.2193239482638043</v>
      </c>
      <c r="FS106" s="21">
        <f>EXP(-LN(2)/2)*FS105+(1-EXP(-LN(2)/2))/(LN(2)/2)*FM106*FP106*VLOOKUP('Données projet'!$B$16,Paramètres!$A$1:$I$89,3,0)*0.475*44/12</f>
        <v>1.4794139199828366E-10</v>
      </c>
      <c r="FT106" s="22">
        <f t="shared" si="78"/>
        <v>2.3106323309905896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117.54638373164624</v>
      </c>
      <c r="GF106" s="59">
        <f t="shared" si="104"/>
        <v>133.0740262536583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0.52117214793025946</v>
      </c>
      <c r="GM106" s="21">
        <f>EXP(-LN(2)/25)*GM105+(1-EXP(-LN(2)/25))/(LN(2)/25)*Calculateur!GH106*Calculateur!GJ106*VLOOKUP('Données projet'!$B$17,Paramètres!$A$1:$I$89,3,0)*0.475*44/12</f>
        <v>1.1436392423921604</v>
      </c>
      <c r="GN106" s="21">
        <f>EXP(-LN(2)/2)*GN105+(1-EXP(-LN(2)/2))/(LN(2)/2)*GH106*GK106*VLOOKUP('Données projet'!$B$17,Paramètres!$A$1:$I$89,3,0)*0.475*44/12</f>
        <v>4.1627448393456429E-11</v>
      </c>
      <c r="GO106" s="21">
        <f t="shared" si="81"/>
        <v>1.6648113903640473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2.8421709430404007E-14</v>
      </c>
      <c r="GV106" s="17">
        <f>GU106*VLOOKUP('Données projet'!$B$18,Paramètres!$A$1:$I$89,3,0)*VLOOKUP('Données projet'!$B$18,Paramètres!$A$1:$I$89,5,0)</f>
        <v>1.3567387213697657E-14</v>
      </c>
      <c r="GW106" s="13">
        <f t="shared" si="105"/>
        <v>2.5717320947985821E-13</v>
      </c>
      <c r="GX106" s="20">
        <f t="shared" si="82"/>
        <v>4.7153987257460977E-13</v>
      </c>
      <c r="GY106" s="59">
        <f t="shared" si="83"/>
        <v>293.33333333333377</v>
      </c>
      <c r="GZ106" s="59">
        <f ca="1">AVERAGE(OFFSET($GY$3,0,0,'Données projet'!$E$18+1,1))-AVERAGE(OFFSET($H$3,0,0,'Données projet'!$E$18+1,1))</f>
        <v>43.147469606759159</v>
      </c>
      <c r="HA106" s="59">
        <f t="shared" si="106"/>
        <v>147.46995307968473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8.4954787524270063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5.6715031949341973E-12</v>
      </c>
      <c r="HJ106" s="22">
        <f t="shared" si="84"/>
        <v>8.4954787524326782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3.1</v>
      </c>
      <c r="N107" s="13">
        <f>IF('Données projet'!$A$36&gt;35,N106+M107-V106,IF(A107&lt;'Données projet'!$A$36,$K$205^A107,IF(A107='Données projet'!$A$36,'Données projet'!$B$36,N106+M107-V106)))</f>
        <v>214.39999999999995</v>
      </c>
      <c r="O107" s="13">
        <f>N107*VLOOKUP('Données projet'!$B$9,Paramètres!$A$1:$I$89,3,0)*VLOOKUP('Données projet'!$B$9,Paramètres!$A$1:$I$89,5,0)</f>
        <v>193.98911999999996</v>
      </c>
      <c r="P107" s="13">
        <f t="shared" si="87"/>
        <v>48.420821305775434</v>
      </c>
      <c r="Q107" s="20">
        <f t="shared" si="107"/>
        <v>422.19731444089211</v>
      </c>
      <c r="R107" s="59">
        <f t="shared" si="55"/>
        <v>715.53064777422537</v>
      </c>
      <c r="S107" s="59">
        <f ca="1">AVERAGE(OFFSET($R$3,0,0,'Données projet'!$E$9+1,1))-AVERAGE(OFFSET($H$3,0,0,'Données projet'!$E$9+1,1))</f>
        <v>138.8931001150624</v>
      </c>
      <c r="T107" s="59">
        <f t="shared" si="88"/>
        <v>48.964659354096625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-7.4487616075202836E-14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191.94797389630673</v>
      </c>
      <c r="AO107" s="59">
        <f t="shared" si="90"/>
        <v>273.52540822767878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1.8053872914730849</v>
      </c>
      <c r="AW107" s="21">
        <f>EXP(-LN(2)/2)*AW106+(1-EXP(-LN(2)/2))/(LN(2)/2)*AQ107*AT107*VLOOKUP('Données projet'!$B$10,Paramètres!$A$1:$I$89,3,0)*0.475*44/12</f>
        <v>1.688245023227455E-10</v>
      </c>
      <c r="AX107" s="21">
        <f t="shared" si="60"/>
        <v>2.4000304978320126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3.5470293369144201E-14</v>
      </c>
      <c r="BF107" s="13">
        <f t="shared" si="91"/>
        <v>6.0119115841663204E-13</v>
      </c>
      <c r="BG107" s="20">
        <f t="shared" si="61"/>
        <v>1.1088520285268936E-12</v>
      </c>
      <c r="BH107" s="59">
        <f t="shared" si="62"/>
        <v>293.33333333333445</v>
      </c>
      <c r="BI107" s="59">
        <f ca="1">AVERAGE(OFFSET($BH$3,0,0,'Données projet'!$E$11+1,1))-AVERAGE(OFFSET($H$3,0,0,'Données projet'!$E$11+1,1))</f>
        <v>162.91481796710048</v>
      </c>
      <c r="BJ107" s="59">
        <f t="shared" si="92"/>
        <v>182.56192390367823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0.64237525649943572</v>
      </c>
      <c r="BQ107" s="21">
        <f>EXP(-LN(2)/25)*BQ106+(1-EXP(-LN(2)/25))/(LN(2)/25)*Calculateur!BL107*Calculateur!BN107*VLOOKUP('Données projet'!$B$11,Paramètres!$A$1:$I$89,3,0)*0.475*44/12</f>
        <v>1.9635172038882689</v>
      </c>
      <c r="BR107" s="21">
        <f>EXP(-LN(2)/2)*BR106+(1-EXP(-LN(2)/2))/(LN(2)/2)*BL107*BO107*VLOOKUP('Données projet'!$B$11,Paramètres!$A$1:$I$89,3,0)*0.475*44/12</f>
        <v>1.3074688763050232E-10</v>
      </c>
      <c r="BS107" s="22">
        <f t="shared" si="63"/>
        <v>2.6058924605184517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8.6999999999999993</v>
      </c>
      <c r="BY107" s="12">
        <f>IF('Données projet'!$A$114&gt;35,BY106+BX107-CG106,IF(A107&lt;'Données projet'!$A$114,$BV$205^A107,IF(A107='Données projet'!$A$114,'Données projet'!$B$114,BY106+BX107-CG106)))</f>
        <v>396.4</v>
      </c>
      <c r="BZ107" s="13">
        <f>BY107*VLOOKUP('Données projet'!$B$12,Paramètres!$A$1:$I$89,3,0)*VLOOKUP('Données projet'!$B$12,Paramètres!$A$1:$I$89,5,0)</f>
        <v>185.51519999999999</v>
      </c>
      <c r="CA107" s="13">
        <f t="shared" si="93"/>
        <v>46.547053007719569</v>
      </c>
      <c r="CB107" s="20">
        <f t="shared" si="64"/>
        <v>404.17509065511155</v>
      </c>
      <c r="CC107" s="59">
        <f t="shared" si="65"/>
        <v>697.50842398844486</v>
      </c>
      <c r="CD107" s="59">
        <f ca="1">AVERAGE(OFFSET($CC$3,0,0,'Données projet'!$E$12+1,1))-AVERAGE(OFFSET($H$3,0,0,'Données projet'!$E$12+1,1))</f>
        <v>123.60520571614535</v>
      </c>
      <c r="CE107" s="59">
        <f t="shared" si="94"/>
        <v>119.00926870519527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0.20031210565395371</v>
      </c>
      <c r="CL107" s="21">
        <f>EXP(-LN(2)/25)*CL106+(1-EXP(-LN(2)/25))/(LN(2)/25)*Calculateur!CG107*Calculateur!CI107*VLOOKUP('Données projet'!$B$12,Paramètres!$A$1:$I$89,3,0)*0.475*44/12</f>
        <v>0.61388139441765477</v>
      </c>
      <c r="CM107" s="21">
        <f>EXP(-LN(2)/2)*CM106+(1-EXP(-LN(2)/2))/(LN(2)/2)*CG107*CJ107*VLOOKUP('Données projet'!$B$12,Paramètres!$A$1:$I$89,3,0)*0.475*44/12</f>
        <v>4.4483098398505139E-11</v>
      </c>
      <c r="CN107" s="22">
        <f t="shared" si="66"/>
        <v>0.8141935001160916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3.1</v>
      </c>
      <c r="CT107" s="12">
        <f>IF('Données projet'!$A$140&gt;35,CT106+CS107-DB106,IF(A107&lt;'Données projet'!$A$140,$CQ$205^A107,IF(A107='Données projet'!$A$140,'Données projet'!$B$140,CT106+CS107-DB106)))</f>
        <v>214.39999999999995</v>
      </c>
      <c r="CU107" s="17">
        <f>CT107*VLOOKUP('Données projet'!$B$13,Paramètres!$A$1:$I$89,3,0)*VLOOKUP('Données projet'!$B$13,Paramètres!$A$1:$I$89,5,0)</f>
        <v>224.09087999999997</v>
      </c>
      <c r="CV107" s="13">
        <f t="shared" si="95"/>
        <v>55.003062629756201</v>
      </c>
      <c r="CW107" s="20">
        <f t="shared" si="67"/>
        <v>486.08861674682527</v>
      </c>
      <c r="CX107" s="59">
        <f t="shared" si="68"/>
        <v>779.42195008015858</v>
      </c>
      <c r="CY107" s="59">
        <f ca="1">AVERAGE(OFFSET($CX$3,0,0,'Données projet'!$E$13+1,1))-AVERAGE(OFFSET($H$3,0,0,'Données projet'!$E$13+1,1))</f>
        <v>177.94336949486529</v>
      </c>
      <c r="CZ107" s="59">
        <f t="shared" si="96"/>
        <v>65.559373432574603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3.3992364478763198E-14</v>
      </c>
      <c r="DQ107" s="13">
        <f t="shared" si="97"/>
        <v>5.790027782444094E-13</v>
      </c>
      <c r="DR107" s="20">
        <f t="shared" si="70"/>
        <v>1.0676332069095257E-12</v>
      </c>
      <c r="DS107" s="59">
        <f t="shared" si="71"/>
        <v>293.33333333333439</v>
      </c>
      <c r="DT107" s="59">
        <f ca="1">AVERAGE(OFFSET($DS$3,0,0,'Données projet'!$E$14+1,1))-AVERAGE(OFFSET($H$3,0,0,'Données projet'!$E$14+1,1))</f>
        <v>165.39579887388538</v>
      </c>
      <c r="DU107" s="59">
        <f t="shared" si="98"/>
        <v>155.89639262545802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0.93677171678253601</v>
      </c>
      <c r="EC107" s="21">
        <f>EXP(-LN(2)/2)*EC106+(1-EXP(-LN(2)/2))/(LN(2)/2)*DW107*DZ107*VLOOKUP('Données projet'!$B$14,Paramètres!$A$1:$I$89,3,0)*0.475*44/12</f>
        <v>1.0099055169395398E-10</v>
      </c>
      <c r="ED107" s="22">
        <f t="shared" si="72"/>
        <v>0.93677171688352656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-1.1368683772161603E-12</v>
      </c>
      <c r="EK107" s="17">
        <f>EJ107*VLOOKUP('Données projet'!$B$15,Paramètres!$A$1:$I$89,3,0)*VLOOKUP('Données projet'!$B$15,Paramètres!$A$1:$I$89,5,0)</f>
        <v>-5.4683368944097316E-13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252.30925789500111</v>
      </c>
      <c r="EP107" s="59">
        <f t="shared" si="100"/>
        <v>213.96033794804805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1.0699084908288605</v>
      </c>
      <c r="EW107" s="21">
        <f>EXP(-LN(2)/25)*EW106+(1-EXP(-LN(2)/25))/(LN(2)/25)*Calculateur!ER107*Calculateur!ET107*VLOOKUP('Données projet'!$B$15,Paramètres!$A$1:$I$89,3,0)*0.475*44/12</f>
        <v>1.1859814707770708</v>
      </c>
      <c r="EX107" s="21">
        <f>EXP(-LN(2)/2)*EX106+(1-EXP(-LN(2)/2))/(LN(2)/2)*ER107*EU107*VLOOKUP('Données projet'!$B$15,Paramètres!$A$1:$I$89,3,0)*0.475*44/12</f>
        <v>1.0461036150016362E-10</v>
      </c>
      <c r="EY107" s="22">
        <f t="shared" si="75"/>
        <v>2.2558899617105421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-1.1368683772161603E-12</v>
      </c>
      <c r="FF107" s="17">
        <f>FE107*VLOOKUP('Données projet'!$B$16,Paramètres!$A$1:$I$89,3,0)*VLOOKUP('Données projet'!$B$16,Paramètres!$A$1:$I$89,5,0)</f>
        <v>-5.4683368944097316E-13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252.30925789500111</v>
      </c>
      <c r="FK107" s="59">
        <f t="shared" si="102"/>
        <v>213.96033794804805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1.0699084908288605</v>
      </c>
      <c r="FR107" s="21">
        <f>EXP(-LN(2)/25)*FR106+(1-EXP(-LN(2)/25))/(LN(2)/25)*Calculateur!FM107*Calculateur!FO107*VLOOKUP('Données projet'!$B$16,Paramètres!$A$1:$I$89,3,0)*0.475*44/12</f>
        <v>1.1859814707770708</v>
      </c>
      <c r="FS107" s="21">
        <f>EXP(-LN(2)/2)*FS106+(1-EXP(-LN(2)/2))/(LN(2)/2)*FM107*FP107*VLOOKUP('Données projet'!$B$16,Paramètres!$A$1:$I$89,3,0)*0.475*44/12</f>
        <v>1.0461036150016362E-10</v>
      </c>
      <c r="FT107" s="22">
        <f t="shared" si="78"/>
        <v>2.2558899617105421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117.54638373164624</v>
      </c>
      <c r="GF107" s="59">
        <f t="shared" si="104"/>
        <v>133.0740262536583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0.51095227999296888</v>
      </c>
      <c r="GM107" s="21">
        <f>EXP(-LN(2)/25)*GM106+(1-EXP(-LN(2)/25))/(LN(2)/25)*Calculateur!GH107*Calculateur!GJ107*VLOOKUP('Données projet'!$B$17,Paramètres!$A$1:$I$89,3,0)*0.475*44/12</f>
        <v>1.1123663671675728</v>
      </c>
      <c r="GN107" s="21">
        <f>EXP(-LN(2)/2)*GN106+(1-EXP(-LN(2)/2))/(LN(2)/2)*GH107*GK107*VLOOKUP('Données projet'!$B$17,Paramètres!$A$1:$I$89,3,0)*0.475*44/12</f>
        <v>2.9435051042506094E-11</v>
      </c>
      <c r="GO107" s="21">
        <f t="shared" si="81"/>
        <v>1.6233186471899768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2.8421709430404007E-14</v>
      </c>
      <c r="GV107" s="17">
        <f>GU107*VLOOKUP('Données projet'!$B$18,Paramètres!$A$1:$I$89,3,0)*VLOOKUP('Données projet'!$B$18,Paramètres!$A$1:$I$89,5,0)</f>
        <v>1.3567387213697657E-14</v>
      </c>
      <c r="GW107" s="13">
        <f t="shared" si="105"/>
        <v>2.5717320947985821E-13</v>
      </c>
      <c r="GX107" s="20">
        <f t="shared" si="82"/>
        <v>4.7153987257460977E-13</v>
      </c>
      <c r="GY107" s="59">
        <f t="shared" si="83"/>
        <v>293.33333333333377</v>
      </c>
      <c r="GZ107" s="59">
        <f ca="1">AVERAGE(OFFSET($GY$3,0,0,'Données projet'!$E$18+1,1))-AVERAGE(OFFSET($H$3,0,0,'Données projet'!$E$18+1,1))</f>
        <v>43.147469606759159</v>
      </c>
      <c r="HA107" s="59">
        <f t="shared" si="106"/>
        <v>147.46995307968473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8.3288875958222981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4.0103583686591405E-12</v>
      </c>
      <c r="HJ107" s="22">
        <f t="shared" si="84"/>
        <v>8.3288875958263091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3.1</v>
      </c>
      <c r="N108" s="13">
        <f>IF('Données projet'!$A$36&gt;35,N107+M108-V107,IF(A108&lt;'Données projet'!$A$36,$K$205^A108,IF(A108='Données projet'!$A$36,'Données projet'!$B$36,N107+M108-V107)))</f>
        <v>217.49999999999994</v>
      </c>
      <c r="O108" s="13">
        <f>N108*VLOOKUP('Données projet'!$B$9,Paramètres!$A$1:$I$89,3,0)*VLOOKUP('Données projet'!$B$9,Paramètres!$A$1:$I$89,5,0)</f>
        <v>196.79399999999995</v>
      </c>
      <c r="P108" s="13">
        <f t="shared" si="87"/>
        <v>49.038924669809596</v>
      </c>
      <c r="Q108" s="20">
        <f t="shared" si="107"/>
        <v>428.15901046658496</v>
      </c>
      <c r="R108" s="59">
        <f t="shared" si="55"/>
        <v>721.49234379991822</v>
      </c>
      <c r="S108" s="59">
        <f ca="1">AVERAGE(OFFSET($R$3,0,0,'Données projet'!$E$9+1,1))-AVERAGE(OFFSET($H$3,0,0,'Données projet'!$E$9+1,1))</f>
        <v>138.8931001150624</v>
      </c>
      <c r="T108" s="59">
        <f t="shared" si="88"/>
        <v>48.964659354096625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-7.4487616075202836E-14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191.94797389630673</v>
      </c>
      <c r="AO108" s="59">
        <f t="shared" si="90"/>
        <v>273.52540822767878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1.756018881046562</v>
      </c>
      <c r="AW108" s="21">
        <f>EXP(-LN(2)/2)*AW107+(1-EXP(-LN(2)/2))/(LN(2)/2)*AQ108*AT108*VLOOKUP('Données projet'!$B$10,Paramètres!$A$1:$I$89,3,0)*0.475*44/12</f>
        <v>1.1937695042285738E-10</v>
      </c>
      <c r="AX108" s="21">
        <f t="shared" si="60"/>
        <v>2.3390014967791966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3.5470293369144201E-14</v>
      </c>
      <c r="BF108" s="13">
        <f t="shared" si="91"/>
        <v>6.0119115841663204E-13</v>
      </c>
      <c r="BG108" s="20">
        <f t="shared" si="61"/>
        <v>1.1088520285268936E-12</v>
      </c>
      <c r="BH108" s="59">
        <f t="shared" si="62"/>
        <v>293.33333333333445</v>
      </c>
      <c r="BI108" s="59">
        <f ca="1">AVERAGE(OFFSET($BH$3,0,0,'Données projet'!$E$11+1,1))-AVERAGE(OFFSET($H$3,0,0,'Données projet'!$E$11+1,1))</f>
        <v>162.91481796710048</v>
      </c>
      <c r="BJ108" s="59">
        <f t="shared" si="92"/>
        <v>182.56192390367823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0.62977866952970019</v>
      </c>
      <c r="BQ108" s="21">
        <f>EXP(-LN(2)/25)*BQ107+(1-EXP(-LN(2)/25))/(LN(2)/25)*Calculateur!BL108*Calculateur!BN108*VLOOKUP('Données projet'!$B$11,Paramètres!$A$1:$I$89,3,0)*0.475*44/12</f>
        <v>1.9098247226910621</v>
      </c>
      <c r="BR108" s="21">
        <f>EXP(-LN(2)/2)*BR107+(1-EXP(-LN(2)/2))/(LN(2)/2)*BL108*BO108*VLOOKUP('Données projet'!$B$11,Paramètres!$A$1:$I$89,3,0)*0.475*44/12</f>
        <v>9.2452010862563727E-11</v>
      </c>
      <c r="BS108" s="22">
        <f t="shared" si="63"/>
        <v>2.539603392313214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8.6999999999999993</v>
      </c>
      <c r="BY108" s="12">
        <f>IF('Données projet'!$A$114&gt;35,BY107+BX108-CG107,IF(A108&lt;'Données projet'!$A$114,$BV$205^A108,IF(A108='Données projet'!$A$114,'Données projet'!$B$114,BY107+BX108-CG107)))</f>
        <v>405.09999999999997</v>
      </c>
      <c r="BZ108" s="13">
        <f>BY108*VLOOKUP('Données projet'!$B$12,Paramètres!$A$1:$I$89,3,0)*VLOOKUP('Données projet'!$B$12,Paramètres!$A$1:$I$89,5,0)</f>
        <v>189.58679999999998</v>
      </c>
      <c r="CA108" s="13">
        <f t="shared" si="93"/>
        <v>47.448588626085396</v>
      </c>
      <c r="CB108" s="20">
        <f t="shared" si="64"/>
        <v>412.83663519043193</v>
      </c>
      <c r="CC108" s="59">
        <f t="shared" si="65"/>
        <v>706.16996852376519</v>
      </c>
      <c r="CD108" s="59">
        <f ca="1">AVERAGE(OFFSET($CC$3,0,0,'Données projet'!$E$12+1,1))-AVERAGE(OFFSET($H$3,0,0,'Données projet'!$E$12+1,1))</f>
        <v>123.60520571614535</v>
      </c>
      <c r="CE108" s="59">
        <f t="shared" si="94"/>
        <v>119.00926870519527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0.19638410744040002</v>
      </c>
      <c r="CL108" s="21">
        <f>EXP(-LN(2)/25)*CL107+(1-EXP(-LN(2)/25))/(LN(2)/25)*Calculateur!CG108*Calculateur!CI108*VLOOKUP('Données projet'!$B$12,Paramètres!$A$1:$I$89,3,0)*0.475*44/12</f>
        <v>0.59709477540468447</v>
      </c>
      <c r="CM108" s="21">
        <f>EXP(-LN(2)/2)*CM107+(1-EXP(-LN(2)/2))/(LN(2)/2)*CG108*CJ108*VLOOKUP('Données projet'!$B$12,Paramètres!$A$1:$I$89,3,0)*0.475*44/12</f>
        <v>3.1454300525771435E-11</v>
      </c>
      <c r="CN108" s="22">
        <f t="shared" si="66"/>
        <v>0.79347888287653878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3.1</v>
      </c>
      <c r="CT108" s="12">
        <f>IF('Données projet'!$A$140&gt;35,CT107+CS108-DB107,IF(A108&lt;'Données projet'!$A$140,$CQ$205^A108,IF(A108='Données projet'!$A$140,'Données projet'!$B$140,CT107+CS108-DB107)))</f>
        <v>217.49999999999994</v>
      </c>
      <c r="CU108" s="17">
        <f>CT108*VLOOKUP('Données projet'!$B$13,Paramètres!$A$1:$I$89,3,0)*VLOOKUP('Données projet'!$B$13,Paramètres!$A$1:$I$89,5,0)</f>
        <v>227.33099999999996</v>
      </c>
      <c r="CV108" s="13">
        <f t="shared" si="95"/>
        <v>55.705189878464786</v>
      </c>
      <c r="CW108" s="20">
        <f t="shared" si="67"/>
        <v>492.95469737165951</v>
      </c>
      <c r="CX108" s="59">
        <f t="shared" si="68"/>
        <v>786.28803070499282</v>
      </c>
      <c r="CY108" s="59">
        <f ca="1">AVERAGE(OFFSET($CX$3,0,0,'Données projet'!$E$13+1,1))-AVERAGE(OFFSET($H$3,0,0,'Données projet'!$E$13+1,1))</f>
        <v>177.94336949486529</v>
      </c>
      <c r="CZ108" s="59">
        <f t="shared" si="96"/>
        <v>65.559373432574603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3.3992364478763198E-14</v>
      </c>
      <c r="DQ108" s="13">
        <f t="shared" si="97"/>
        <v>5.790027782444094E-13</v>
      </c>
      <c r="DR108" s="20">
        <f t="shared" si="70"/>
        <v>1.0676332069095257E-12</v>
      </c>
      <c r="DS108" s="59">
        <f t="shared" si="71"/>
        <v>293.33333333333439</v>
      </c>
      <c r="DT108" s="59">
        <f ca="1">AVERAGE(OFFSET($DS$3,0,0,'Données projet'!$E$14+1,1))-AVERAGE(OFFSET($H$3,0,0,'Données projet'!$E$14+1,1))</f>
        <v>165.39579887388538</v>
      </c>
      <c r="DU108" s="59">
        <f t="shared" si="98"/>
        <v>155.89639262545802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0.91115564492443402</v>
      </c>
      <c r="EC108" s="21">
        <f>EXP(-LN(2)/2)*EC107+(1-EXP(-LN(2)/2))/(LN(2)/2)*DW108*DZ108*VLOOKUP('Données projet'!$B$14,Paramètres!$A$1:$I$89,3,0)*0.475*44/12</f>
        <v>7.1411103938565431E-11</v>
      </c>
      <c r="ED108" s="22">
        <f t="shared" si="72"/>
        <v>0.91115564499584512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-1.1368683772161603E-12</v>
      </c>
      <c r="EK108" s="17">
        <f>EJ108*VLOOKUP('Données projet'!$B$15,Paramètres!$A$1:$I$89,3,0)*VLOOKUP('Données projet'!$B$15,Paramètres!$A$1:$I$89,5,0)</f>
        <v>-5.4683368944097316E-13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252.30925789500111</v>
      </c>
      <c r="EP108" s="59">
        <f t="shared" si="100"/>
        <v>213.96033794804805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1.048928237903449</v>
      </c>
      <c r="EW108" s="21">
        <f>EXP(-LN(2)/25)*EW107+(1-EXP(-LN(2)/25))/(LN(2)/25)*Calculateur!ER108*Calculateur!ET108*VLOOKUP('Données projet'!$B$15,Paramètres!$A$1:$I$89,3,0)*0.475*44/12</f>
        <v>1.1535507450906168</v>
      </c>
      <c r="EX108" s="21">
        <f>EXP(-LN(2)/2)*EX107+(1-EXP(-LN(2)/2))/(LN(2)/2)*ER108*EU108*VLOOKUP('Données projet'!$B$15,Paramètres!$A$1:$I$89,3,0)*0.475*44/12</f>
        <v>7.3970695999141831E-11</v>
      </c>
      <c r="EY108" s="22">
        <f t="shared" si="75"/>
        <v>2.2024789830680365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-1.1368683772161603E-12</v>
      </c>
      <c r="FF108" s="17">
        <f>FE108*VLOOKUP('Données projet'!$B$16,Paramètres!$A$1:$I$89,3,0)*VLOOKUP('Données projet'!$B$16,Paramètres!$A$1:$I$89,5,0)</f>
        <v>-5.4683368944097316E-13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252.30925789500111</v>
      </c>
      <c r="FK108" s="59">
        <f t="shared" si="102"/>
        <v>213.96033794804805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1.048928237903449</v>
      </c>
      <c r="FR108" s="21">
        <f>EXP(-LN(2)/25)*FR107+(1-EXP(-LN(2)/25))/(LN(2)/25)*Calculateur!FM108*Calculateur!FO108*VLOOKUP('Données projet'!$B$16,Paramètres!$A$1:$I$89,3,0)*0.475*44/12</f>
        <v>1.1535507450906168</v>
      </c>
      <c r="FS108" s="21">
        <f>EXP(-LN(2)/2)*FS107+(1-EXP(-LN(2)/2))/(LN(2)/2)*FM108*FP108*VLOOKUP('Données projet'!$B$16,Paramètres!$A$1:$I$89,3,0)*0.475*44/12</f>
        <v>7.3970695999141831E-11</v>
      </c>
      <c r="FT108" s="22">
        <f t="shared" si="78"/>
        <v>2.2024789830680365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117.54638373164624</v>
      </c>
      <c r="GF108" s="59">
        <f t="shared" si="104"/>
        <v>133.0740262536583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0.50093281743242468</v>
      </c>
      <c r="GM108" s="21">
        <f>EXP(-LN(2)/25)*GM107+(1-EXP(-LN(2)/25))/(LN(2)/25)*Calculateur!GH108*Calculateur!GJ108*VLOOKUP('Données projet'!$B$17,Paramètres!$A$1:$I$89,3,0)*0.475*44/12</f>
        <v>1.0819486503605706</v>
      </c>
      <c r="GN108" s="21">
        <f>EXP(-LN(2)/2)*GN107+(1-EXP(-LN(2)/2))/(LN(2)/2)*GH108*GK108*VLOOKUP('Données projet'!$B$17,Paramètres!$A$1:$I$89,3,0)*0.475*44/12</f>
        <v>2.0813724196728215E-11</v>
      </c>
      <c r="GO108" s="21">
        <f t="shared" si="81"/>
        <v>1.5828814678138092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2.8421709430404007E-14</v>
      </c>
      <c r="GV108" s="17">
        <f>GU108*VLOOKUP('Données projet'!$B$18,Paramètres!$A$1:$I$89,3,0)*VLOOKUP('Données projet'!$B$18,Paramètres!$A$1:$I$89,5,0)</f>
        <v>1.3567387213697657E-14</v>
      </c>
      <c r="GW108" s="13">
        <f t="shared" si="105"/>
        <v>2.5717320947985821E-13</v>
      </c>
      <c r="GX108" s="20">
        <f t="shared" si="82"/>
        <v>4.7153987257460977E-13</v>
      </c>
      <c r="GY108" s="59">
        <f t="shared" si="83"/>
        <v>293.33333333333377</v>
      </c>
      <c r="GZ108" s="59">
        <f ca="1">AVERAGE(OFFSET($GY$3,0,0,'Données projet'!$E$18+1,1))-AVERAGE(OFFSET($H$3,0,0,'Données projet'!$E$18+1,1))</f>
        <v>43.147469606759159</v>
      </c>
      <c r="HA108" s="59">
        <f t="shared" si="106"/>
        <v>147.46995307968473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8.1655631901880366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2.8357515974670987E-12</v>
      </c>
      <c r="HJ108" s="22">
        <f t="shared" si="84"/>
        <v>8.1655631901908716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3.1</v>
      </c>
      <c r="N109" s="13">
        <f>IF('Données projet'!$A$36&gt;35,N108+M109-V108,IF(A109&lt;'Données projet'!$A$36,$K$205^A109,IF(A109='Données projet'!$A$36,'Données projet'!$B$36,N108+M109-V108)))</f>
        <v>220.59999999999994</v>
      </c>
      <c r="O109" s="13">
        <f>N109*VLOOKUP('Données projet'!$B$9,Paramètres!$A$1:$I$89,3,0)*VLOOKUP('Données projet'!$B$9,Paramètres!$A$1:$I$89,5,0)</f>
        <v>199.59887999999992</v>
      </c>
      <c r="P109" s="13">
        <f t="shared" si="87"/>
        <v>49.656003392528994</v>
      </c>
      <c r="Q109" s="20">
        <f t="shared" si="107"/>
        <v>434.1189219086545</v>
      </c>
      <c r="R109" s="59">
        <f t="shared" si="55"/>
        <v>727.45225524198781</v>
      </c>
      <c r="S109" s="59">
        <f ca="1">AVERAGE(OFFSET($R$3,0,0,'Données projet'!$E$9+1,1))-AVERAGE(OFFSET($H$3,0,0,'Données projet'!$E$9+1,1))</f>
        <v>138.8931001150624</v>
      </c>
      <c r="T109" s="59">
        <f t="shared" si="88"/>
        <v>48.964659354096625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-7.4487616075202836E-14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191.94797389630673</v>
      </c>
      <c r="AO109" s="59">
        <f t="shared" si="90"/>
        <v>273.52540822767878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1.7080004523993242</v>
      </c>
      <c r="AW109" s="21">
        <f>EXP(-LN(2)/2)*AW108+(1-EXP(-LN(2)/2))/(LN(2)/2)*AQ109*AT109*VLOOKUP('Données projet'!$B$10,Paramètres!$A$1:$I$89,3,0)*0.475*44/12</f>
        <v>8.4412251161372749E-11</v>
      </c>
      <c r="AX109" s="21">
        <f t="shared" si="60"/>
        <v>2.2795511345891026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3.5470293369144201E-14</v>
      </c>
      <c r="BF109" s="13">
        <f t="shared" si="91"/>
        <v>6.0119115841663204E-13</v>
      </c>
      <c r="BG109" s="20">
        <f t="shared" si="61"/>
        <v>1.1088520285268936E-12</v>
      </c>
      <c r="BH109" s="59">
        <f t="shared" si="62"/>
        <v>293.33333333333445</v>
      </c>
      <c r="BI109" s="59">
        <f ca="1">AVERAGE(OFFSET($BH$3,0,0,'Données projet'!$E$11+1,1))-AVERAGE(OFFSET($H$3,0,0,'Données projet'!$E$11+1,1))</f>
        <v>162.91481796710048</v>
      </c>
      <c r="BJ109" s="59">
        <f t="shared" si="92"/>
        <v>182.56192390367823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0.61742909394728174</v>
      </c>
      <c r="BQ109" s="21">
        <f>EXP(-LN(2)/25)*BQ108+(1-EXP(-LN(2)/25))/(LN(2)/25)*Calculateur!BL109*Calculateur!BN109*VLOOKUP('Données projet'!$B$11,Paramètres!$A$1:$I$89,3,0)*0.475*44/12</f>
        <v>1.8576004652157578</v>
      </c>
      <c r="BR109" s="21">
        <f>EXP(-LN(2)/2)*BR108+(1-EXP(-LN(2)/2))/(LN(2)/2)*BL109*BO109*VLOOKUP('Données projet'!$B$11,Paramètres!$A$1:$I$89,3,0)*0.475*44/12</f>
        <v>6.5373443815251162E-11</v>
      </c>
      <c r="BS109" s="22">
        <f t="shared" si="63"/>
        <v>2.4750295592284131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8.6999999999999993</v>
      </c>
      <c r="BY109" s="12">
        <f>IF('Données projet'!$A$114&gt;35,BY108+BX109-CG108,IF(A109&lt;'Données projet'!$A$114,$BV$205^A109,IF(A109='Données projet'!$A$114,'Données projet'!$B$114,BY108+BX109-CG108)))</f>
        <v>413.79999999999995</v>
      </c>
      <c r="BZ109" s="13">
        <f>BY109*VLOOKUP('Données projet'!$B$12,Paramètres!$A$1:$I$89,3,0)*VLOOKUP('Données projet'!$B$12,Paramètres!$A$1:$I$89,5,0)</f>
        <v>193.6584</v>
      </c>
      <c r="CA109" s="13">
        <f t="shared" si="93"/>
        <v>48.347873192848013</v>
      </c>
      <c r="CB109" s="20">
        <f t="shared" si="64"/>
        <v>421.49425914421028</v>
      </c>
      <c r="CC109" s="59">
        <f t="shared" si="65"/>
        <v>714.82759247754359</v>
      </c>
      <c r="CD109" s="59">
        <f ca="1">AVERAGE(OFFSET($CC$3,0,0,'Données projet'!$E$12+1,1))-AVERAGE(OFFSET($H$3,0,0,'Données projet'!$E$12+1,1))</f>
        <v>123.60520571614535</v>
      </c>
      <c r="CE109" s="59">
        <f t="shared" si="94"/>
        <v>119.00926870519527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0.19253313487597179</v>
      </c>
      <c r="CL109" s="21">
        <f>EXP(-LN(2)/25)*CL108+(1-EXP(-LN(2)/25))/(LN(2)/25)*Calculateur!CG109*Calculateur!CI109*VLOOKUP('Données projet'!$B$12,Paramètres!$A$1:$I$89,3,0)*0.475*44/12</f>
        <v>0.58076718737139377</v>
      </c>
      <c r="CM109" s="21">
        <f>EXP(-LN(2)/2)*CM108+(1-EXP(-LN(2)/2))/(LN(2)/2)*CG109*CJ109*VLOOKUP('Données projet'!$B$12,Paramètres!$A$1:$I$89,3,0)*0.475*44/12</f>
        <v>2.2241549199252569E-11</v>
      </c>
      <c r="CN109" s="22">
        <f t="shared" si="66"/>
        <v>0.7733003222696071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3.1</v>
      </c>
      <c r="CT109" s="12">
        <f>IF('Données projet'!$A$140&gt;35,CT108+CS109-DB108,IF(A109&lt;'Données projet'!$A$140,$CQ$205^A109,IF(A109='Données projet'!$A$140,'Données projet'!$B$140,CT108+CS109-DB108)))</f>
        <v>220.59999999999994</v>
      </c>
      <c r="CU109" s="17">
        <f>CT109*VLOOKUP('Données projet'!$B$13,Paramètres!$A$1:$I$89,3,0)*VLOOKUP('Données projet'!$B$13,Paramètres!$A$1:$I$89,5,0)</f>
        <v>230.57111999999995</v>
      </c>
      <c r="CV109" s="13">
        <f t="shared" si="95"/>
        <v>56.406153197919657</v>
      </c>
      <c r="CW109" s="20">
        <f t="shared" si="67"/>
        <v>499.81875081970998</v>
      </c>
      <c r="CX109" s="59">
        <f t="shared" si="68"/>
        <v>793.15208415304323</v>
      </c>
      <c r="CY109" s="59">
        <f ca="1">AVERAGE(OFFSET($CX$3,0,0,'Données projet'!$E$13+1,1))-AVERAGE(OFFSET($H$3,0,0,'Données projet'!$E$13+1,1))</f>
        <v>177.94336949486529</v>
      </c>
      <c r="CZ109" s="59">
        <f t="shared" si="96"/>
        <v>65.559373432574603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3.3992364478763198E-14</v>
      </c>
      <c r="DQ109" s="13">
        <f t="shared" si="97"/>
        <v>5.790027782444094E-13</v>
      </c>
      <c r="DR109" s="20">
        <f t="shared" si="70"/>
        <v>1.0676332069095257E-12</v>
      </c>
      <c r="DS109" s="59">
        <f t="shared" si="71"/>
        <v>293.33333333333439</v>
      </c>
      <c r="DT109" s="59">
        <f ca="1">AVERAGE(OFFSET($DS$3,0,0,'Données projet'!$E$14+1,1))-AVERAGE(OFFSET($H$3,0,0,'Données projet'!$E$14+1,1))</f>
        <v>165.39579887388538</v>
      </c>
      <c r="DU109" s="59">
        <f t="shared" si="98"/>
        <v>155.89639262545802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0.88624004589838246</v>
      </c>
      <c r="EC109" s="21">
        <f>EXP(-LN(2)/2)*EC108+(1-EXP(-LN(2)/2))/(LN(2)/2)*DW109*DZ109*VLOOKUP('Données projet'!$B$14,Paramètres!$A$1:$I$89,3,0)*0.475*44/12</f>
        <v>5.0495275846976989E-11</v>
      </c>
      <c r="ED109" s="22">
        <f t="shared" si="72"/>
        <v>0.88624004594887773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-1.1368683772161603E-12</v>
      </c>
      <c r="EK109" s="17">
        <f>EJ109*VLOOKUP('Données projet'!$B$15,Paramètres!$A$1:$I$89,3,0)*VLOOKUP('Données projet'!$B$15,Paramètres!$A$1:$I$89,5,0)</f>
        <v>-5.4683368944097316E-13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252.30925789500111</v>
      </c>
      <c r="EP109" s="59">
        <f t="shared" si="100"/>
        <v>213.96033794804805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1.0283593949412142</v>
      </c>
      <c r="EW109" s="21">
        <f>EXP(-LN(2)/25)*EW108+(1-EXP(-LN(2)/25))/(LN(2)/25)*Calculateur!ER109*Calculateur!ET109*VLOOKUP('Données projet'!$B$15,Paramètres!$A$1:$I$89,3,0)*0.475*44/12</f>
        <v>1.1220068393035167</v>
      </c>
      <c r="EX109" s="21">
        <f>EXP(-LN(2)/2)*EX108+(1-EXP(-LN(2)/2))/(LN(2)/2)*ER109*EU109*VLOOKUP('Données projet'!$B$15,Paramètres!$A$1:$I$89,3,0)*0.475*44/12</f>
        <v>5.230518075008181E-11</v>
      </c>
      <c r="EY109" s="22">
        <f t="shared" si="75"/>
        <v>2.1503662342970364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-1.1368683772161603E-12</v>
      </c>
      <c r="FF109" s="17">
        <f>FE109*VLOOKUP('Données projet'!$B$16,Paramètres!$A$1:$I$89,3,0)*VLOOKUP('Données projet'!$B$16,Paramètres!$A$1:$I$89,5,0)</f>
        <v>-5.4683368944097316E-13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252.30925789500111</v>
      </c>
      <c r="FK109" s="59">
        <f t="shared" si="102"/>
        <v>213.96033794804805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1.0283593949412142</v>
      </c>
      <c r="FR109" s="21">
        <f>EXP(-LN(2)/25)*FR108+(1-EXP(-LN(2)/25))/(LN(2)/25)*Calculateur!FM109*Calculateur!FO109*VLOOKUP('Données projet'!$B$16,Paramètres!$A$1:$I$89,3,0)*0.475*44/12</f>
        <v>1.1220068393035167</v>
      </c>
      <c r="FS109" s="21">
        <f>EXP(-LN(2)/2)*FS108+(1-EXP(-LN(2)/2))/(LN(2)/2)*FM109*FP109*VLOOKUP('Données projet'!$B$16,Paramètres!$A$1:$I$89,3,0)*0.475*44/12</f>
        <v>5.230518075008181E-11</v>
      </c>
      <c r="FT109" s="22">
        <f t="shared" si="78"/>
        <v>2.1503662342970364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117.54638373164624</v>
      </c>
      <c r="GF109" s="59">
        <f t="shared" si="104"/>
        <v>133.0740262536583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0.49110983042142403</v>
      </c>
      <c r="GM109" s="21">
        <f>EXP(-LN(2)/25)*GM108+(1-EXP(-LN(2)/25))/(LN(2)/25)*Calculateur!GH109*Calculateur!GJ109*VLOOKUP('Données projet'!$B$17,Paramètres!$A$1:$I$89,3,0)*0.475*44/12</f>
        <v>1.0523627076192541</v>
      </c>
      <c r="GN109" s="21">
        <f>EXP(-LN(2)/2)*GN108+(1-EXP(-LN(2)/2))/(LN(2)/2)*GH109*GK109*VLOOKUP('Données projet'!$B$17,Paramètres!$A$1:$I$89,3,0)*0.475*44/12</f>
        <v>1.4717525521253047E-11</v>
      </c>
      <c r="GO109" s="21">
        <f t="shared" si="81"/>
        <v>1.5434725380553957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2.8421709430404007E-14</v>
      </c>
      <c r="GV109" s="17">
        <f>GU109*VLOOKUP('Données projet'!$B$18,Paramètres!$A$1:$I$89,3,0)*VLOOKUP('Données projet'!$B$18,Paramètres!$A$1:$I$89,5,0)</f>
        <v>1.3567387213697657E-14</v>
      </c>
      <c r="GW109" s="13">
        <f t="shared" si="105"/>
        <v>2.5717320947985821E-13</v>
      </c>
      <c r="GX109" s="20">
        <f t="shared" si="82"/>
        <v>4.7153987257460977E-13</v>
      </c>
      <c r="GY109" s="59">
        <f t="shared" si="83"/>
        <v>293.33333333333377</v>
      </c>
      <c r="GZ109" s="59">
        <f ca="1">AVERAGE(OFFSET($GY$3,0,0,'Données projet'!$E$18+1,1))-AVERAGE(OFFSET($H$3,0,0,'Données projet'!$E$18+1,1))</f>
        <v>43.147469606759159</v>
      </c>
      <c r="HA109" s="59">
        <f t="shared" si="106"/>
        <v>147.46995307968473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8.005441476530212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2.0051791843295703E-12</v>
      </c>
      <c r="HJ109" s="22">
        <f t="shared" si="84"/>
        <v>8.0054414765322175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3.1</v>
      </c>
      <c r="N110" s="13">
        <f>IF('Données projet'!$A$36&gt;35,N109+M110-V109,IF(A110&lt;'Données projet'!$A$36,$K$205^A110,IF(A110='Données projet'!$A$36,'Données projet'!$B$36,N109+M110-V109)))</f>
        <v>223.69999999999993</v>
      </c>
      <c r="O110" s="13">
        <f>N110*VLOOKUP('Données projet'!$B$9,Paramètres!$A$1:$I$89,3,0)*VLOOKUP('Données projet'!$B$9,Paramètres!$A$1:$I$89,5,0)</f>
        <v>202.40375999999992</v>
      </c>
      <c r="P110" s="13">
        <f t="shared" si="87"/>
        <v>50.272073536742994</v>
      </c>
      <c r="Q110" s="20">
        <f t="shared" si="107"/>
        <v>440.0770767431606</v>
      </c>
      <c r="R110" s="59">
        <f t="shared" si="55"/>
        <v>733.41041007649392</v>
      </c>
      <c r="S110" s="59">
        <f ca="1">AVERAGE(OFFSET($R$3,0,0,'Données projet'!$E$9+1,1))-AVERAGE(OFFSET($H$3,0,0,'Données projet'!$E$9+1,1))</f>
        <v>138.8931001150624</v>
      </c>
      <c r="T110" s="59">
        <f t="shared" si="88"/>
        <v>48.964659354096625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-7.4487616075202836E-14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191.94797389630673</v>
      </c>
      <c r="AO110" s="59">
        <f t="shared" si="90"/>
        <v>273.52540822767878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1.6612950902086245</v>
      </c>
      <c r="AW110" s="21">
        <f>EXP(-LN(2)/2)*AW109+(1-EXP(-LN(2)/2))/(LN(2)/2)*AQ110*AT110*VLOOKUP('Données projet'!$B$10,Paramètres!$A$1:$I$89,3,0)*0.475*44/12</f>
        <v>5.9688475211428691E-11</v>
      </c>
      <c r="AX110" s="21">
        <f t="shared" si="60"/>
        <v>2.2216380121090862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3.5470293369144201E-14</v>
      </c>
      <c r="BF110" s="13">
        <f t="shared" si="91"/>
        <v>6.0119115841663204E-13</v>
      </c>
      <c r="BG110" s="20">
        <f t="shared" si="61"/>
        <v>1.1088520285268936E-12</v>
      </c>
      <c r="BH110" s="59">
        <f t="shared" si="62"/>
        <v>293.33333333333445</v>
      </c>
      <c r="BI110" s="59">
        <f ca="1">AVERAGE(OFFSET($BH$3,0,0,'Données projet'!$E$11+1,1))-AVERAGE(OFFSET($H$3,0,0,'Données projet'!$E$11+1,1))</f>
        <v>162.91481796710048</v>
      </c>
      <c r="BJ110" s="59">
        <f t="shared" si="92"/>
        <v>182.56192390367823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0.60532168600953717</v>
      </c>
      <c r="BQ110" s="21">
        <f>EXP(-LN(2)/25)*BQ109+(1-EXP(-LN(2)/25))/(LN(2)/25)*Calculateur!BL110*Calculateur!BN110*VLOOKUP('Données projet'!$B$11,Paramètres!$A$1:$I$89,3,0)*0.475*44/12</f>
        <v>1.80680428280747</v>
      </c>
      <c r="BR110" s="21">
        <f>EXP(-LN(2)/2)*BR109+(1-EXP(-LN(2)/2))/(LN(2)/2)*BL110*BO110*VLOOKUP('Données projet'!$B$11,Paramètres!$A$1:$I$89,3,0)*0.475*44/12</f>
        <v>4.6226005431281863E-11</v>
      </c>
      <c r="BS110" s="22">
        <f t="shared" si="63"/>
        <v>2.4121259688632333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8.6999999999999993</v>
      </c>
      <c r="BY110" s="12">
        <f>IF('Données projet'!$A$114&gt;35,BY109+BX110-CG109,IF(A110&lt;'Données projet'!$A$114,$BV$205^A110,IF(A110='Données projet'!$A$114,'Données projet'!$B$114,BY109+BX110-CG109)))</f>
        <v>422.49999999999994</v>
      </c>
      <c r="BZ110" s="13">
        <f>BY110*VLOOKUP('Données projet'!$B$12,Paramètres!$A$1:$I$89,3,0)*VLOOKUP('Données projet'!$B$12,Paramètres!$A$1:$I$89,5,0)</f>
        <v>197.72999999999996</v>
      </c>
      <c r="CA110" s="13">
        <f t="shared" si="93"/>
        <v>49.244959487759665</v>
      </c>
      <c r="CB110" s="20">
        <f t="shared" si="64"/>
        <v>430.14805444118133</v>
      </c>
      <c r="CC110" s="59">
        <f t="shared" si="65"/>
        <v>723.48138777451459</v>
      </c>
      <c r="CD110" s="59">
        <f ca="1">AVERAGE(OFFSET($CC$3,0,0,'Données projet'!$E$12+1,1))-AVERAGE(OFFSET($H$3,0,0,'Données projet'!$E$12+1,1))</f>
        <v>123.60520571614535</v>
      </c>
      <c r="CE110" s="59">
        <f t="shared" si="94"/>
        <v>119.00926870519527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0.18875767753467065</v>
      </c>
      <c r="CL110" s="21">
        <f>EXP(-LN(2)/25)*CL109+(1-EXP(-LN(2)/25))/(LN(2)/25)*Calculateur!CG110*Calculateur!CI110*VLOOKUP('Données projet'!$B$12,Paramètres!$A$1:$I$89,3,0)*0.475*44/12</f>
        <v>0.56488607809150393</v>
      </c>
      <c r="CM110" s="21">
        <f>EXP(-LN(2)/2)*CM109+(1-EXP(-LN(2)/2))/(LN(2)/2)*CG110*CJ110*VLOOKUP('Données projet'!$B$12,Paramètres!$A$1:$I$89,3,0)*0.475*44/12</f>
        <v>1.5727150262885718E-11</v>
      </c>
      <c r="CN110" s="22">
        <f t="shared" si="66"/>
        <v>0.75364375564190178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3.1</v>
      </c>
      <c r="CT110" s="12">
        <f>IF('Données projet'!$A$140&gt;35,CT109+CS110-DB109,IF(A110&lt;'Données projet'!$A$140,$CQ$205^A110,IF(A110='Données projet'!$A$140,'Données projet'!$B$140,CT109+CS110-DB109)))</f>
        <v>223.69999999999993</v>
      </c>
      <c r="CU110" s="17">
        <f>CT110*VLOOKUP('Données projet'!$B$13,Paramètres!$A$1:$I$89,3,0)*VLOOKUP('Données projet'!$B$13,Paramètres!$A$1:$I$89,5,0)</f>
        <v>233.81123999999994</v>
      </c>
      <c r="CV110" s="13">
        <f t="shared" si="95"/>
        <v>57.105970834480097</v>
      </c>
      <c r="CW110" s="20">
        <f t="shared" si="67"/>
        <v>506.68080887005272</v>
      </c>
      <c r="CX110" s="59">
        <f t="shared" si="68"/>
        <v>800.01414220338597</v>
      </c>
      <c r="CY110" s="59">
        <f ca="1">AVERAGE(OFFSET($CX$3,0,0,'Données projet'!$E$13+1,1))-AVERAGE(OFFSET($H$3,0,0,'Données projet'!$E$13+1,1))</f>
        <v>177.94336949486529</v>
      </c>
      <c r="CZ110" s="59">
        <f t="shared" si="96"/>
        <v>65.559373432574603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3.3992364478763198E-14</v>
      </c>
      <c r="DQ110" s="13">
        <f t="shared" si="97"/>
        <v>5.790027782444094E-13</v>
      </c>
      <c r="DR110" s="20">
        <f t="shared" si="70"/>
        <v>1.0676332069095257E-12</v>
      </c>
      <c r="DS110" s="59">
        <f t="shared" si="71"/>
        <v>293.33333333333439</v>
      </c>
      <c r="DT110" s="59">
        <f ca="1">AVERAGE(OFFSET($DS$3,0,0,'Données projet'!$E$14+1,1))-AVERAGE(OFFSET($H$3,0,0,'Données projet'!$E$14+1,1))</f>
        <v>165.39579887388538</v>
      </c>
      <c r="DU110" s="59">
        <f t="shared" si="98"/>
        <v>155.89639262545802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0.86200576523795269</v>
      </c>
      <c r="EC110" s="21">
        <f>EXP(-LN(2)/2)*EC109+(1-EXP(-LN(2)/2))/(LN(2)/2)*DW110*DZ110*VLOOKUP('Données projet'!$B$14,Paramètres!$A$1:$I$89,3,0)*0.475*44/12</f>
        <v>3.5705551969282716E-11</v>
      </c>
      <c r="ED110" s="22">
        <f t="shared" si="72"/>
        <v>0.86200576527365824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-1.1368683772161603E-12</v>
      </c>
      <c r="EK110" s="17">
        <f>EJ110*VLOOKUP('Données projet'!$B$15,Paramètres!$A$1:$I$89,3,0)*VLOOKUP('Données projet'!$B$15,Paramètres!$A$1:$I$89,5,0)</f>
        <v>-5.4683368944097316E-13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252.30925789500111</v>
      </c>
      <c r="EP110" s="59">
        <f t="shared" si="100"/>
        <v>213.96033794804805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1.0081938944437134</v>
      </c>
      <c r="EW110" s="21">
        <f>EXP(-LN(2)/25)*EW109+(1-EXP(-LN(2)/25))/(LN(2)/25)*Calculateur!ER110*Calculateur!ET110*VLOOKUP('Données projet'!$B$15,Paramètres!$A$1:$I$89,3,0)*0.475*44/12</f>
        <v>1.0913255032789868</v>
      </c>
      <c r="EX110" s="21">
        <f>EXP(-LN(2)/2)*EX109+(1-EXP(-LN(2)/2))/(LN(2)/2)*ER110*EU110*VLOOKUP('Données projet'!$B$15,Paramètres!$A$1:$I$89,3,0)*0.475*44/12</f>
        <v>3.6985347999570916E-11</v>
      </c>
      <c r="EY110" s="22">
        <f t="shared" si="75"/>
        <v>2.0995193977596855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-1.1368683772161603E-12</v>
      </c>
      <c r="FF110" s="17">
        <f>FE110*VLOOKUP('Données projet'!$B$16,Paramètres!$A$1:$I$89,3,0)*VLOOKUP('Données projet'!$B$16,Paramètres!$A$1:$I$89,5,0)</f>
        <v>-5.4683368944097316E-13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252.30925789500111</v>
      </c>
      <c r="FK110" s="59">
        <f t="shared" si="102"/>
        <v>213.96033794804805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1.0081938944437134</v>
      </c>
      <c r="FR110" s="21">
        <f>EXP(-LN(2)/25)*FR109+(1-EXP(-LN(2)/25))/(LN(2)/25)*Calculateur!FM110*Calculateur!FO110*VLOOKUP('Données projet'!$B$16,Paramètres!$A$1:$I$89,3,0)*0.475*44/12</f>
        <v>1.0913255032789868</v>
      </c>
      <c r="FS110" s="21">
        <f>EXP(-LN(2)/2)*FS109+(1-EXP(-LN(2)/2))/(LN(2)/2)*FM110*FP110*VLOOKUP('Données projet'!$B$16,Paramètres!$A$1:$I$89,3,0)*0.475*44/12</f>
        <v>3.6985347999570916E-11</v>
      </c>
      <c r="FT110" s="22">
        <f t="shared" si="78"/>
        <v>2.0995193977596855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117.54638373164624</v>
      </c>
      <c r="GF110" s="59">
        <f t="shared" si="104"/>
        <v>133.0740262536583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0.48147946619427862</v>
      </c>
      <c r="GM110" s="21">
        <f>EXP(-LN(2)/25)*GM109+(1-EXP(-LN(2)/25))/(LN(2)/25)*Calculateur!GH110*Calculateur!GJ110*VLOOKUP('Données projet'!$B$17,Paramètres!$A$1:$I$89,3,0)*0.475*44/12</f>
        <v>1.0235857940380559</v>
      </c>
      <c r="GN110" s="21">
        <f>EXP(-LN(2)/2)*GN109+(1-EXP(-LN(2)/2))/(LN(2)/2)*GH110*GK110*VLOOKUP('Données projet'!$B$17,Paramètres!$A$1:$I$89,3,0)*0.475*44/12</f>
        <v>1.0406862098364107E-11</v>
      </c>
      <c r="GO110" s="21">
        <f t="shared" si="81"/>
        <v>1.5050652602427412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2.8421709430404007E-14</v>
      </c>
      <c r="GV110" s="17">
        <f>GU110*VLOOKUP('Données projet'!$B$18,Paramètres!$A$1:$I$89,3,0)*VLOOKUP('Données projet'!$B$18,Paramètres!$A$1:$I$89,5,0)</f>
        <v>1.3567387213697657E-14</v>
      </c>
      <c r="GW110" s="13">
        <f t="shared" si="105"/>
        <v>2.5717320947985821E-13</v>
      </c>
      <c r="GX110" s="20">
        <f t="shared" si="82"/>
        <v>4.7153987257460977E-13</v>
      </c>
      <c r="GY110" s="59">
        <f t="shared" si="83"/>
        <v>293.33333333333377</v>
      </c>
      <c r="GZ110" s="59">
        <f ca="1">AVERAGE(OFFSET($GY$3,0,0,'Données projet'!$E$18+1,1))-AVERAGE(OFFSET($H$3,0,0,'Données projet'!$E$18+1,1))</f>
        <v>43.147469606759159</v>
      </c>
      <c r="HA110" s="59">
        <f t="shared" si="106"/>
        <v>147.46995307968473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7.8484596520126155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1.4178757987335493E-12</v>
      </c>
      <c r="HJ110" s="22">
        <f t="shared" si="84"/>
        <v>7.8484596520140331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3.1</v>
      </c>
      <c r="N111" s="13">
        <f>IF('Données projet'!$A$36&gt;35,N110+M111-V110,IF(A111&lt;'Données projet'!$A$36,$K$205^A111,IF(A111='Données projet'!$A$36,'Données projet'!$B$36,N110+M111-V110)))</f>
        <v>226.79999999999993</v>
      </c>
      <c r="O111" s="13">
        <f>N111*VLOOKUP('Données projet'!$B$9,Paramètres!$A$1:$I$89,3,0)*VLOOKUP('Données projet'!$B$9,Paramètres!$A$1:$I$89,5,0)</f>
        <v>205.20863999999995</v>
      </c>
      <c r="P111" s="13">
        <f t="shared" si="87"/>
        <v>50.887150694493549</v>
      </c>
      <c r="Q111" s="20">
        <f t="shared" si="107"/>
        <v>446.03350212624281</v>
      </c>
      <c r="R111" s="59">
        <f t="shared" si="55"/>
        <v>739.36683545957612</v>
      </c>
      <c r="S111" s="59">
        <f ca="1">AVERAGE(OFFSET($R$3,0,0,'Données projet'!$E$9+1,1))-AVERAGE(OFFSET($H$3,0,0,'Données projet'!$E$9+1,1))</f>
        <v>138.8931001150624</v>
      </c>
      <c r="T111" s="59">
        <f t="shared" si="88"/>
        <v>48.964659354096625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-7.4487616075202836E-14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191.94797389630673</v>
      </c>
      <c r="AO111" s="59">
        <f t="shared" si="90"/>
        <v>273.52540822767878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1.6158668886031577</v>
      </c>
      <c r="AW111" s="21">
        <f>EXP(-LN(2)/2)*AW110+(1-EXP(-LN(2)/2))/(LN(2)/2)*AQ111*AT111*VLOOKUP('Données projet'!$B$10,Paramètres!$A$1:$I$89,3,0)*0.475*44/12</f>
        <v>4.2206125580686375E-11</v>
      </c>
      <c r="AX111" s="21">
        <f t="shared" si="60"/>
        <v>2.1652218275642747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3.5470293369144201E-14</v>
      </c>
      <c r="BF111" s="13">
        <f t="shared" si="91"/>
        <v>6.0119115841663204E-13</v>
      </c>
      <c r="BG111" s="20">
        <f t="shared" si="61"/>
        <v>1.1088520285268936E-12</v>
      </c>
      <c r="BH111" s="59">
        <f t="shared" si="62"/>
        <v>293.33333333333445</v>
      </c>
      <c r="BI111" s="59">
        <f ca="1">AVERAGE(OFFSET($BH$3,0,0,'Données projet'!$E$11+1,1))-AVERAGE(OFFSET($H$3,0,0,'Données projet'!$E$11+1,1))</f>
        <v>162.91481796710048</v>
      </c>
      <c r="BJ111" s="59">
        <f t="shared" si="92"/>
        <v>182.56192390367823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0.59345169695666222</v>
      </c>
      <c r="BQ111" s="21">
        <f>EXP(-LN(2)/25)*BQ110+(1-EXP(-LN(2)/25))/(LN(2)/25)*Calculateur!BL111*Calculateur!BN111*VLOOKUP('Données projet'!$B$11,Paramètres!$A$1:$I$89,3,0)*0.475*44/12</f>
        <v>1.7573971246783919</v>
      </c>
      <c r="BR111" s="21">
        <f>EXP(-LN(2)/2)*BR110+(1-EXP(-LN(2)/2))/(LN(2)/2)*BL111*BO111*VLOOKUP('Données projet'!$B$11,Paramètres!$A$1:$I$89,3,0)*0.475*44/12</f>
        <v>3.2686721907625581E-11</v>
      </c>
      <c r="BS111" s="22">
        <f t="shared" si="63"/>
        <v>2.350848821667741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8.6999999999999993</v>
      </c>
      <c r="BY111" s="12">
        <f>IF('Données projet'!$A$114&gt;35,BY110+BX111-CG110,IF(A111&lt;'Données projet'!$A$114,$BV$205^A111,IF(A111='Données projet'!$A$114,'Données projet'!$B$114,BY110+BX111-CG110)))</f>
        <v>431.19999999999993</v>
      </c>
      <c r="BZ111" s="13">
        <f>BY111*VLOOKUP('Données projet'!$B$12,Paramètres!$A$1:$I$89,3,0)*VLOOKUP('Données projet'!$B$12,Paramètres!$A$1:$I$89,5,0)</f>
        <v>201.80159999999998</v>
      </c>
      <c r="CA111" s="13">
        <f t="shared" si="93"/>
        <v>50.139897992681668</v>
      </c>
      <c r="CB111" s="20">
        <f t="shared" si="64"/>
        <v>438.7981090039205</v>
      </c>
      <c r="CC111" s="59">
        <f t="shared" si="65"/>
        <v>732.13144233725382</v>
      </c>
      <c r="CD111" s="59">
        <f ca="1">AVERAGE(OFFSET($CC$3,0,0,'Données projet'!$E$12+1,1))-AVERAGE(OFFSET($H$3,0,0,'Données projet'!$E$12+1,1))</f>
        <v>123.60520571614535</v>
      </c>
      <c r="CE111" s="59">
        <f t="shared" si="94"/>
        <v>119.00926870519527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0.18505625460903083</v>
      </c>
      <c r="CL111" s="21">
        <f>EXP(-LN(2)/25)*CL110+(1-EXP(-LN(2)/25))/(LN(2)/25)*Calculateur!CG111*Calculateur!CI111*VLOOKUP('Données projet'!$B$12,Paramètres!$A$1:$I$89,3,0)*0.475*44/12</f>
        <v>0.54943923858002397</v>
      </c>
      <c r="CM111" s="21">
        <f>EXP(-LN(2)/2)*CM110+(1-EXP(-LN(2)/2))/(LN(2)/2)*CG111*CJ111*VLOOKUP('Données projet'!$B$12,Paramètres!$A$1:$I$89,3,0)*0.475*44/12</f>
        <v>1.1120774599626285E-11</v>
      </c>
      <c r="CN111" s="22">
        <f t="shared" si="66"/>
        <v>0.7344954932001756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3.1</v>
      </c>
      <c r="CT111" s="12">
        <f>IF('Données projet'!$A$140&gt;35,CT110+CS111-DB110,IF(A111&lt;'Données projet'!$A$140,$CQ$205^A111,IF(A111='Données projet'!$A$140,'Données projet'!$B$140,CT110+CS111-DB110)))</f>
        <v>226.79999999999993</v>
      </c>
      <c r="CU111" s="17">
        <f>CT111*VLOOKUP('Données projet'!$B$13,Paramètres!$A$1:$I$89,3,0)*VLOOKUP('Données projet'!$B$13,Paramètres!$A$1:$I$89,5,0)</f>
        <v>237.05135999999996</v>
      </c>
      <c r="CV111" s="13">
        <f t="shared" si="95"/>
        <v>57.804660499743029</v>
      </c>
      <c r="CW111" s="20">
        <f t="shared" si="67"/>
        <v>513.54090237038565</v>
      </c>
      <c r="CX111" s="59">
        <f t="shared" si="68"/>
        <v>806.87423570371902</v>
      </c>
      <c r="CY111" s="59">
        <f ca="1">AVERAGE(OFFSET($CX$3,0,0,'Données projet'!$E$13+1,1))-AVERAGE(OFFSET($H$3,0,0,'Données projet'!$E$13+1,1))</f>
        <v>177.94336949486529</v>
      </c>
      <c r="CZ111" s="59">
        <f t="shared" si="96"/>
        <v>65.559373432574603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3.3992364478763198E-14</v>
      </c>
      <c r="DQ111" s="13">
        <f t="shared" si="97"/>
        <v>5.790027782444094E-13</v>
      </c>
      <c r="DR111" s="20">
        <f t="shared" si="70"/>
        <v>1.0676332069095257E-12</v>
      </c>
      <c r="DS111" s="59">
        <f t="shared" si="71"/>
        <v>293.33333333333439</v>
      </c>
      <c r="DT111" s="59">
        <f ca="1">AVERAGE(OFFSET($DS$3,0,0,'Données projet'!$E$14+1,1))-AVERAGE(OFFSET($H$3,0,0,'Données projet'!$E$14+1,1))</f>
        <v>165.39579887388538</v>
      </c>
      <c r="DU111" s="59">
        <f t="shared" si="98"/>
        <v>155.89639262545802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0.83843417225660777</v>
      </c>
      <c r="EC111" s="21">
        <f>EXP(-LN(2)/2)*EC110+(1-EXP(-LN(2)/2))/(LN(2)/2)*DW111*DZ111*VLOOKUP('Données projet'!$B$14,Paramètres!$A$1:$I$89,3,0)*0.475*44/12</f>
        <v>2.5247637923488495E-11</v>
      </c>
      <c r="ED111" s="22">
        <f t="shared" si="72"/>
        <v>0.83843417228185546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-1.1368683772161603E-12</v>
      </c>
      <c r="EK111" s="17">
        <f>EJ111*VLOOKUP('Données projet'!$B$15,Paramètres!$A$1:$I$89,3,0)*VLOOKUP('Données projet'!$B$15,Paramètres!$A$1:$I$89,5,0)</f>
        <v>-5.4683368944097316E-13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252.30925789500111</v>
      </c>
      <c r="EP111" s="59">
        <f t="shared" si="100"/>
        <v>213.96033794804805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0.98842382711122778</v>
      </c>
      <c r="EW111" s="21">
        <f>EXP(-LN(2)/25)*EW110+(1-EXP(-LN(2)/25))/(LN(2)/25)*Calculateur!ER111*Calculateur!ET111*VLOOKUP('Données projet'!$B$15,Paramètres!$A$1:$I$89,3,0)*0.475*44/12</f>
        <v>1.0614831500015089</v>
      </c>
      <c r="EX111" s="21">
        <f>EXP(-LN(2)/2)*EX110+(1-EXP(-LN(2)/2))/(LN(2)/2)*ER111*EU111*VLOOKUP('Données projet'!$B$15,Paramètres!$A$1:$I$89,3,0)*0.475*44/12</f>
        <v>2.6152590375040905E-11</v>
      </c>
      <c r="EY111" s="22">
        <f t="shared" si="75"/>
        <v>2.0499069771388889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-1.1368683772161603E-12</v>
      </c>
      <c r="FF111" s="17">
        <f>FE111*VLOOKUP('Données projet'!$B$16,Paramètres!$A$1:$I$89,3,0)*VLOOKUP('Données projet'!$B$16,Paramètres!$A$1:$I$89,5,0)</f>
        <v>-5.4683368944097316E-13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252.30925789500111</v>
      </c>
      <c r="FK111" s="59">
        <f t="shared" si="102"/>
        <v>213.96033794804805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0.98842382711122778</v>
      </c>
      <c r="FR111" s="21">
        <f>EXP(-LN(2)/25)*FR110+(1-EXP(-LN(2)/25))/(LN(2)/25)*Calculateur!FM111*Calculateur!FO111*VLOOKUP('Données projet'!$B$16,Paramètres!$A$1:$I$89,3,0)*0.475*44/12</f>
        <v>1.0614831500015089</v>
      </c>
      <c r="FS111" s="21">
        <f>EXP(-LN(2)/2)*FS110+(1-EXP(-LN(2)/2))/(LN(2)/2)*FM111*FP111*VLOOKUP('Données projet'!$B$16,Paramètres!$A$1:$I$89,3,0)*0.475*44/12</f>
        <v>2.6152590375040905E-11</v>
      </c>
      <c r="FT111" s="22">
        <f t="shared" si="78"/>
        <v>2.0499069771388889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117.54638373164624</v>
      </c>
      <c r="GF111" s="59">
        <f t="shared" si="104"/>
        <v>133.0740262536583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0.47203794753568534</v>
      </c>
      <c r="GM111" s="21">
        <f>EXP(-LN(2)/25)*GM110+(1-EXP(-LN(2)/25))/(LN(2)/25)*Calculateur!GH111*Calculateur!GJ111*VLOOKUP('Données projet'!$B$17,Paramètres!$A$1:$I$89,3,0)*0.475*44/12</f>
        <v>0.99559578667204784</v>
      </c>
      <c r="GN111" s="21">
        <f>EXP(-LN(2)/2)*GN110+(1-EXP(-LN(2)/2))/(LN(2)/2)*GH111*GK111*VLOOKUP('Données projet'!$B$17,Paramètres!$A$1:$I$89,3,0)*0.475*44/12</f>
        <v>7.3587627606265236E-12</v>
      </c>
      <c r="GO111" s="21">
        <f t="shared" si="81"/>
        <v>1.467633734215092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2.8421709430404007E-14</v>
      </c>
      <c r="GV111" s="17">
        <f>GU111*VLOOKUP('Données projet'!$B$18,Paramètres!$A$1:$I$89,3,0)*VLOOKUP('Données projet'!$B$18,Paramètres!$A$1:$I$89,5,0)</f>
        <v>1.3567387213697657E-14</v>
      </c>
      <c r="GW111" s="13">
        <f t="shared" si="105"/>
        <v>2.5717320947985821E-13</v>
      </c>
      <c r="GX111" s="20">
        <f t="shared" si="82"/>
        <v>4.7153987257460977E-13</v>
      </c>
      <c r="GY111" s="59">
        <f t="shared" si="83"/>
        <v>293.33333333333377</v>
      </c>
      <c r="GZ111" s="59">
        <f ca="1">AVERAGE(OFFSET($GY$3,0,0,'Données projet'!$E$18+1,1))-AVERAGE(OFFSET($H$3,0,0,'Données projet'!$E$18+1,1))</f>
        <v>43.147469606759159</v>
      </c>
      <c r="HA111" s="59">
        <f t="shared" si="106"/>
        <v>147.46995307968473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7.6945561453243503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1.0025895921647851E-12</v>
      </c>
      <c r="HJ111" s="22">
        <f t="shared" si="84"/>
        <v>7.694556145325353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3.1</v>
      </c>
      <c r="N112" s="13">
        <f>IF('Données projet'!$A$36&gt;35,N111+M112-V111,IF(A112&lt;'Données projet'!$A$36,$K$205^A112,IF(A112='Données projet'!$A$36,'Données projet'!$B$36,N111+M112-V111)))</f>
        <v>229.89999999999992</v>
      </c>
      <c r="O112" s="13">
        <f>N112*VLOOKUP('Données projet'!$B$9,Paramètres!$A$1:$I$89,3,0)*VLOOKUP('Données projet'!$B$9,Paramètres!$A$1:$I$89,5,0)</f>
        <v>208.01351999999994</v>
      </c>
      <c r="P112" s="13">
        <f t="shared" si="87"/>
        <v>51.501250007095145</v>
      </c>
      <c r="Q112" s="20">
        <f t="shared" si="107"/>
        <v>451.98822442902389</v>
      </c>
      <c r="R112" s="59">
        <f t="shared" si="55"/>
        <v>745.3215577623572</v>
      </c>
      <c r="S112" s="59">
        <f ca="1">AVERAGE(OFFSET($R$3,0,0,'Données projet'!$E$9+1,1))-AVERAGE(OFFSET($H$3,0,0,'Données projet'!$E$9+1,1))</f>
        <v>138.8931001150624</v>
      </c>
      <c r="T112" s="59">
        <f t="shared" si="88"/>
        <v>48.964659354096625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-7.4487616075202836E-14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191.94797389630673</v>
      </c>
      <c r="AO112" s="59">
        <f t="shared" si="90"/>
        <v>273.52540822767878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1.5716809235595579</v>
      </c>
      <c r="AW112" s="21">
        <f>EXP(-LN(2)/2)*AW111+(1-EXP(-LN(2)/2))/(LN(2)/2)*AQ112*AT112*VLOOKUP('Données projet'!$B$10,Paramètres!$A$1:$I$89,3,0)*0.475*44/12</f>
        <v>2.9844237605714345E-11</v>
      </c>
      <c r="AX112" s="21">
        <f t="shared" si="60"/>
        <v>2.11026334722954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3.5470293369144201E-14</v>
      </c>
      <c r="BF112" s="13">
        <f t="shared" si="91"/>
        <v>6.0119115841663204E-13</v>
      </c>
      <c r="BG112" s="20">
        <f t="shared" si="61"/>
        <v>1.1088520285268936E-12</v>
      </c>
      <c r="BH112" s="59">
        <f t="shared" si="62"/>
        <v>293.33333333333445</v>
      </c>
      <c r="BI112" s="59">
        <f ca="1">AVERAGE(OFFSET($BH$3,0,0,'Données projet'!$E$11+1,1))-AVERAGE(OFFSET($H$3,0,0,'Données projet'!$E$11+1,1))</f>
        <v>162.91481796710048</v>
      </c>
      <c r="BJ112" s="59">
        <f t="shared" si="92"/>
        <v>182.56192390367823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0.58181447114913565</v>
      </c>
      <c r="BQ112" s="21">
        <f>EXP(-LN(2)/25)*BQ111+(1-EXP(-LN(2)/25))/(LN(2)/25)*Calculateur!BL112*Calculateur!BN112*VLOOKUP('Données projet'!$B$11,Paramètres!$A$1:$I$89,3,0)*0.475*44/12</f>
        <v>1.7093410078865632</v>
      </c>
      <c r="BR112" s="21">
        <f>EXP(-LN(2)/2)*BR111+(1-EXP(-LN(2)/2))/(LN(2)/2)*BL112*BO112*VLOOKUP('Données projet'!$B$11,Paramètres!$A$1:$I$89,3,0)*0.475*44/12</f>
        <v>2.3113002715640932E-11</v>
      </c>
      <c r="BS112" s="22">
        <f t="shared" si="63"/>
        <v>2.291155479058812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8.6999999999999993</v>
      </c>
      <c r="BY112" s="12">
        <f>IF('Données projet'!$A$114&gt;35,BY111+BX112-CG111,IF(A112&lt;'Données projet'!$A$114,$BV$205^A112,IF(A112='Données projet'!$A$114,'Données projet'!$B$114,BY111+BX112-CG111)))</f>
        <v>439.89999999999992</v>
      </c>
      <c r="BZ112" s="13">
        <f>BY112*VLOOKUP('Données projet'!$B$12,Paramètres!$A$1:$I$89,3,0)*VLOOKUP('Données projet'!$B$12,Paramètres!$A$1:$I$89,5,0)</f>
        <v>205.87319999999997</v>
      </c>
      <c r="CA112" s="13">
        <f t="shared" si="93"/>
        <v>51.03273703593927</v>
      </c>
      <c r="CB112" s="20">
        <f t="shared" si="64"/>
        <v>447.44450700426086</v>
      </c>
      <c r="CC112" s="59">
        <f t="shared" si="65"/>
        <v>740.77784033759417</v>
      </c>
      <c r="CD112" s="59">
        <f ca="1">AVERAGE(OFFSET($CC$3,0,0,'Données projet'!$E$12+1,1))-AVERAGE(OFFSET($H$3,0,0,'Données projet'!$E$12+1,1))</f>
        <v>123.60520571614535</v>
      </c>
      <c r="CE112" s="59">
        <f t="shared" si="94"/>
        <v>119.00926870519527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0.18142741432931775</v>
      </c>
      <c r="CL112" s="21">
        <f>EXP(-LN(2)/25)*CL111+(1-EXP(-LN(2)/25))/(LN(2)/25)*Calculateur!CG112*Calculateur!CI112*VLOOKUP('Données projet'!$B$12,Paramètres!$A$1:$I$89,3,0)*0.475*44/12</f>
        <v>0.53441479370729938</v>
      </c>
      <c r="CM112" s="21">
        <f>EXP(-LN(2)/2)*CM111+(1-EXP(-LN(2)/2))/(LN(2)/2)*CG112*CJ112*VLOOKUP('Données projet'!$B$12,Paramètres!$A$1:$I$89,3,0)*0.475*44/12</f>
        <v>7.8635751314428588E-12</v>
      </c>
      <c r="CN112" s="22">
        <f t="shared" si="66"/>
        <v>0.71584220804448073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3.1</v>
      </c>
      <c r="CT112" s="12">
        <f>IF('Données projet'!$A$140&gt;35,CT111+CS112-DB111,IF(A112&lt;'Données projet'!$A$140,$CQ$205^A112,IF(A112='Données projet'!$A$140,'Données projet'!$B$140,CT111+CS112-DB111)))</f>
        <v>229.89999999999992</v>
      </c>
      <c r="CU112" s="17">
        <f>CT112*VLOOKUP('Données projet'!$B$13,Paramètres!$A$1:$I$89,3,0)*VLOOKUP('Données projet'!$B$13,Paramètres!$A$1:$I$89,5,0)</f>
        <v>240.29147999999995</v>
      </c>
      <c r="CV112" s="13">
        <f t="shared" si="95"/>
        <v>58.502239393306418</v>
      </c>
      <c r="CW112" s="20">
        <f t="shared" si="67"/>
        <v>520.3990612766753</v>
      </c>
      <c r="CX112" s="59">
        <f t="shared" si="68"/>
        <v>813.73239461000867</v>
      </c>
      <c r="CY112" s="59">
        <f ca="1">AVERAGE(OFFSET($CX$3,0,0,'Données projet'!$E$13+1,1))-AVERAGE(OFFSET($H$3,0,0,'Données projet'!$E$13+1,1))</f>
        <v>177.94336949486529</v>
      </c>
      <c r="CZ112" s="59">
        <f t="shared" si="96"/>
        <v>65.559373432574603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3.3992364478763198E-14</v>
      </c>
      <c r="DQ112" s="13">
        <f t="shared" si="97"/>
        <v>5.790027782444094E-13</v>
      </c>
      <c r="DR112" s="20">
        <f t="shared" si="70"/>
        <v>1.0676332069095257E-12</v>
      </c>
      <c r="DS112" s="59">
        <f t="shared" si="71"/>
        <v>293.33333333333439</v>
      </c>
      <c r="DT112" s="59">
        <f ca="1">AVERAGE(OFFSET($DS$3,0,0,'Données projet'!$E$14+1,1))-AVERAGE(OFFSET($H$3,0,0,'Données projet'!$E$14+1,1))</f>
        <v>165.39579887388538</v>
      </c>
      <c r="DU112" s="59">
        <f t="shared" si="98"/>
        <v>155.89639262545802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0.81550714572491401</v>
      </c>
      <c r="EC112" s="21">
        <f>EXP(-LN(2)/2)*EC111+(1-EXP(-LN(2)/2))/(LN(2)/2)*DW112*DZ112*VLOOKUP('Données projet'!$B$14,Paramètres!$A$1:$I$89,3,0)*0.475*44/12</f>
        <v>1.7852775984641358E-11</v>
      </c>
      <c r="ED112" s="22">
        <f t="shared" si="72"/>
        <v>0.81550714574276684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-1.1368683772161603E-12</v>
      </c>
      <c r="EK112" s="17">
        <f>EJ112*VLOOKUP('Données projet'!$B$15,Paramètres!$A$1:$I$89,3,0)*VLOOKUP('Données projet'!$B$15,Paramètres!$A$1:$I$89,5,0)</f>
        <v>-5.4683368944097316E-13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252.30925789500111</v>
      </c>
      <c r="EP112" s="59">
        <f t="shared" si="100"/>
        <v>213.96033794804805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0.9690414387405818</v>
      </c>
      <c r="EW112" s="21">
        <f>EXP(-LN(2)/25)*EW111+(1-EXP(-LN(2)/25))/(LN(2)/25)*Calculateur!ER112*Calculateur!ET112*VLOOKUP('Données projet'!$B$15,Paramètres!$A$1:$I$89,3,0)*0.475*44/12</f>
        <v>1.0324568374437448</v>
      </c>
      <c r="EX112" s="21">
        <f>EXP(-LN(2)/2)*EX111+(1-EXP(-LN(2)/2))/(LN(2)/2)*ER112*EU112*VLOOKUP('Données projet'!$B$15,Paramètres!$A$1:$I$89,3,0)*0.475*44/12</f>
        <v>1.8492673999785458E-11</v>
      </c>
      <c r="EY112" s="22">
        <f t="shared" si="75"/>
        <v>2.0014982762028195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-1.1368683772161603E-12</v>
      </c>
      <c r="FF112" s="17">
        <f>FE112*VLOOKUP('Données projet'!$B$16,Paramètres!$A$1:$I$89,3,0)*VLOOKUP('Données projet'!$B$16,Paramètres!$A$1:$I$89,5,0)</f>
        <v>-5.4683368944097316E-13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252.30925789500111</v>
      </c>
      <c r="FK112" s="59">
        <f t="shared" si="102"/>
        <v>213.96033794804805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0.9690414387405818</v>
      </c>
      <c r="FR112" s="21">
        <f>EXP(-LN(2)/25)*FR111+(1-EXP(-LN(2)/25))/(LN(2)/25)*Calculateur!FM112*Calculateur!FO112*VLOOKUP('Données projet'!$B$16,Paramètres!$A$1:$I$89,3,0)*0.475*44/12</f>
        <v>1.0324568374437448</v>
      </c>
      <c r="FS112" s="21">
        <f>EXP(-LN(2)/2)*FS111+(1-EXP(-LN(2)/2))/(LN(2)/2)*FM112*FP112*VLOOKUP('Données projet'!$B$16,Paramètres!$A$1:$I$89,3,0)*0.475*44/12</f>
        <v>1.8492673999785458E-11</v>
      </c>
      <c r="FT112" s="22">
        <f t="shared" si="78"/>
        <v>2.0014982762028195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117.54638373164624</v>
      </c>
      <c r="GF112" s="59">
        <f t="shared" si="104"/>
        <v>133.0740262536583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0.46278157129922931</v>
      </c>
      <c r="GM112" s="21">
        <f>EXP(-LN(2)/25)*GM111+(1-EXP(-LN(2)/25))/(LN(2)/25)*Calculateur!GH112*Calculateur!GJ112*VLOOKUP('Données projet'!$B$17,Paramètres!$A$1:$I$89,3,0)*0.475*44/12</f>
        <v>0.96837116752939378</v>
      </c>
      <c r="GN112" s="21">
        <f>EXP(-LN(2)/2)*GN111+(1-EXP(-LN(2)/2))/(LN(2)/2)*GH112*GK112*VLOOKUP('Données projet'!$B$17,Paramètres!$A$1:$I$89,3,0)*0.475*44/12</f>
        <v>5.2034310491820537E-12</v>
      </c>
      <c r="GO112" s="21">
        <f t="shared" si="81"/>
        <v>1.4311527388338265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2.8421709430404007E-14</v>
      </c>
      <c r="GV112" s="17">
        <f>GU112*VLOOKUP('Données projet'!$B$18,Paramètres!$A$1:$I$89,3,0)*VLOOKUP('Données projet'!$B$18,Paramètres!$A$1:$I$89,5,0)</f>
        <v>1.3567387213697657E-14</v>
      </c>
      <c r="GW112" s="13">
        <f t="shared" si="105"/>
        <v>2.5717320947985821E-13</v>
      </c>
      <c r="GX112" s="20">
        <f t="shared" si="82"/>
        <v>4.7153987257460977E-13</v>
      </c>
      <c r="GY112" s="59">
        <f t="shared" si="83"/>
        <v>293.33333333333377</v>
      </c>
      <c r="GZ112" s="59">
        <f ca="1">AVERAGE(OFFSET($GY$3,0,0,'Données projet'!$E$18+1,1))-AVERAGE(OFFSET($H$3,0,0,'Données projet'!$E$18+1,1))</f>
        <v>43.147469606759159</v>
      </c>
      <c r="HA112" s="59">
        <f t="shared" si="106"/>
        <v>147.46995307968473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7.543670592530372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7.0893789936677467E-13</v>
      </c>
      <c r="HJ112" s="22">
        <f t="shared" si="84"/>
        <v>7.5436705925310807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233</v>
      </c>
      <c r="L113" s="12">
        <f>VLOOKUP(A113,'Données projet'!$A$35:$I$55,9,0)</f>
        <v>3.1</v>
      </c>
      <c r="M113" s="12">
        <f t="array" ref="M113">INDEX(L:L,MIN(IF(ISNUMBER(L113:L309),ROW(L113:L309),"")))</f>
        <v>3.1</v>
      </c>
      <c r="N113" s="13">
        <f>IF('Données projet'!$A$36&gt;35,N112+M113-V112,IF(A113&lt;'Données projet'!$A$36,$K$205^A113,IF(A113='Données projet'!$A$36,'Données projet'!$B$36,N112+M113-V112)))</f>
        <v>232.99999999999991</v>
      </c>
      <c r="O113" s="13">
        <f>N113*VLOOKUP('Données projet'!$B$9,Paramètres!$A$1:$I$89,3,0)*VLOOKUP('Données projet'!$B$9,Paramètres!$A$1:$I$89,5,0)</f>
        <v>210.81839999999988</v>
      </c>
      <c r="P113" s="13">
        <f t="shared" si="87"/>
        <v>52.114386184062155</v>
      </c>
      <c r="Q113" s="20">
        <f t="shared" si="107"/>
        <v>457.94126927057465</v>
      </c>
      <c r="R113" s="59">
        <f t="shared" si="55"/>
        <v>751.27460260390797</v>
      </c>
      <c r="S113" s="59">
        <f ca="1">AVERAGE(OFFSET($R$3,0,0,'Données projet'!$E$9+1,1))-AVERAGE(OFFSET($H$3,0,0,'Données projet'!$E$9+1,1))</f>
        <v>138.8931001150624</v>
      </c>
      <c r="T113" s="59">
        <f t="shared" si="88"/>
        <v>48.964659354096625</v>
      </c>
      <c r="U113" s="15">
        <f>IF(ISNA(VLOOKUP(A113,'Données projet'!$A$35:$I$55,3,0)),0,VLOOKUP(A113,'Données projet'!$A$35:$I$55,3,0))</f>
        <v>8</v>
      </c>
      <c r="V113" s="15">
        <f>IF(ISNA(VLOOKUP(A113,'Données projet'!$A$35:$I$55,4,0)),0,VLOOKUP(A113,'Données projet'!$A$35:$I$55,4,0))</f>
        <v>27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-7.4487616075202836E-14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191.94797389630673</v>
      </c>
      <c r="AO113" s="59">
        <f t="shared" si="90"/>
        <v>273.52540822767878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1.5287032260537141</v>
      </c>
      <c r="AW113" s="21">
        <f>EXP(-LN(2)/2)*AW112+(1-EXP(-LN(2)/2))/(LN(2)/2)*AQ113*AT113*VLOOKUP('Données projet'!$B$10,Paramètres!$A$1:$I$89,3,0)*0.475*44/12</f>
        <v>2.1103062790343187E-11</v>
      </c>
      <c r="AX113" s="21">
        <f t="shared" si="60"/>
        <v>2.0567243768902133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3.5470293369144201E-14</v>
      </c>
      <c r="BF113" s="13">
        <f t="shared" si="91"/>
        <v>6.0119115841663204E-13</v>
      </c>
      <c r="BG113" s="20">
        <f t="shared" si="61"/>
        <v>1.1088520285268936E-12</v>
      </c>
      <c r="BH113" s="59">
        <f t="shared" si="62"/>
        <v>293.33333333333445</v>
      </c>
      <c r="BI113" s="59">
        <f ca="1">AVERAGE(OFFSET($BH$3,0,0,'Données projet'!$E$11+1,1))-AVERAGE(OFFSET($H$3,0,0,'Données projet'!$E$11+1,1))</f>
        <v>162.91481796710048</v>
      </c>
      <c r="BJ113" s="59">
        <f t="shared" si="92"/>
        <v>182.56192390367823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0.57040544424168782</v>
      </c>
      <c r="BQ113" s="21">
        <f>EXP(-LN(2)/25)*BQ112+(1-EXP(-LN(2)/25))/(LN(2)/25)*Calculateur!BL113*Calculateur!BN113*VLOOKUP('Données projet'!$B$11,Paramètres!$A$1:$I$89,3,0)*0.475*44/12</f>
        <v>1.6625989881355683</v>
      </c>
      <c r="BR113" s="21">
        <f>EXP(-LN(2)/2)*BR112+(1-EXP(-LN(2)/2))/(LN(2)/2)*BL113*BO113*VLOOKUP('Données projet'!$B$11,Paramètres!$A$1:$I$89,3,0)*0.475*44/12</f>
        <v>1.6343360953812791E-11</v>
      </c>
      <c r="BS113" s="22">
        <f t="shared" si="63"/>
        <v>2.2330044323935994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448.59999999999997</v>
      </c>
      <c r="BW113" s="12">
        <f>VLOOKUP(A113,'Données projet'!$A$113:$I$133,9,0)</f>
        <v>8.6999999999999993</v>
      </c>
      <c r="BX113" s="12">
        <f t="array" ref="BX113">INDEX(BW:BW,MIN(IF(ISNUMBER(BW113:BW309),ROW(BW113:BW309),"")))</f>
        <v>8.6999999999999993</v>
      </c>
      <c r="BY113" s="12">
        <f>IF('Données projet'!$A$114&gt;35,BY112+BX113-CG112,IF(A113&lt;'Données projet'!$A$114,$BV$205^A113,IF(A113='Données projet'!$A$114,'Données projet'!$B$114,BY112+BX113-CG112)))</f>
        <v>448.59999999999991</v>
      </c>
      <c r="BZ113" s="13">
        <f>BY113*VLOOKUP('Données projet'!$B$12,Paramètres!$A$1:$I$89,3,0)*VLOOKUP('Données projet'!$B$12,Paramètres!$A$1:$I$89,5,0)</f>
        <v>209.94479999999996</v>
      </c>
      <c r="CA113" s="13">
        <f t="shared" si="93"/>
        <v>51.923522924934218</v>
      </c>
      <c r="CB113" s="20">
        <f t="shared" si="64"/>
        <v>456.08732909426044</v>
      </c>
      <c r="CC113" s="59">
        <f t="shared" si="65"/>
        <v>749.4206624275937</v>
      </c>
      <c r="CD113" s="59">
        <f ca="1">AVERAGE(OFFSET($CC$3,0,0,'Données projet'!$E$12+1,1))-AVERAGE(OFFSET($H$3,0,0,'Données projet'!$E$12+1,1))</f>
        <v>123.60520571614535</v>
      </c>
      <c r="CE113" s="59">
        <f t="shared" si="94"/>
        <v>119.00926870519527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448.6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0.17786973339411583</v>
      </c>
      <c r="CL113" s="21">
        <f>EXP(-LN(2)/25)*CL112+(1-EXP(-LN(2)/25))/(LN(2)/25)*Calculateur!CG113*Calculateur!CI113*VLOOKUP('Données projet'!$B$12,Paramètres!$A$1:$I$89,3,0)*0.475*44/12</f>
        <v>0.51980119306972072</v>
      </c>
      <c r="CM113" s="21">
        <f>EXP(-LN(2)/2)*CM112+(1-EXP(-LN(2)/2))/(LN(2)/2)*CG113*CJ113*VLOOKUP('Données projet'!$B$12,Paramètres!$A$1:$I$89,3,0)*0.475*44/12</f>
        <v>5.5603872998131424E-12</v>
      </c>
      <c r="CN113" s="22">
        <f t="shared" si="66"/>
        <v>0.69767092646939699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233</v>
      </c>
      <c r="CR113" s="12">
        <f>VLOOKUP(A113,'Données projet'!$A$139:$I$159,9,0)</f>
        <v>3.1</v>
      </c>
      <c r="CS113" s="12">
        <f t="array" ref="CS113">INDEX(CR:CR,MIN(IF(ISNUMBER(CR113:CR309),ROW(CR113:CR309),"")))</f>
        <v>3.1</v>
      </c>
      <c r="CT113" s="12">
        <f>IF('Données projet'!$A$140&gt;35,CT112+CS113-DB112,IF(A113&lt;'Données projet'!$A$140,$CQ$205^A113,IF(A113='Données projet'!$A$140,'Données projet'!$B$140,CT112+CS113-DB112)))</f>
        <v>232.99999999999991</v>
      </c>
      <c r="CU113" s="17">
        <f>CT113*VLOOKUP('Données projet'!$B$13,Paramètres!$A$1:$I$89,3,0)*VLOOKUP('Données projet'!$B$13,Paramètres!$A$1:$I$89,5,0)</f>
        <v>243.53159999999994</v>
      </c>
      <c r="CV113" s="13">
        <f t="shared" si="95"/>
        <v>59.198724224270357</v>
      </c>
      <c r="CW113" s="20">
        <f t="shared" si="67"/>
        <v>527.25531469060411</v>
      </c>
      <c r="CX113" s="59">
        <f t="shared" si="68"/>
        <v>820.58864802393737</v>
      </c>
      <c r="CY113" s="59">
        <f ca="1">AVERAGE(OFFSET($CX$3,0,0,'Données projet'!$E$13+1,1))-AVERAGE(OFFSET($H$3,0,0,'Données projet'!$E$13+1,1))</f>
        <v>177.94336949486529</v>
      </c>
      <c r="CZ113" s="59">
        <f t="shared" si="96"/>
        <v>65.559373432574603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3.3992364478763198E-14</v>
      </c>
      <c r="DQ113" s="13">
        <f t="shared" si="97"/>
        <v>5.790027782444094E-13</v>
      </c>
      <c r="DR113" s="20">
        <f t="shared" si="70"/>
        <v>1.0676332069095257E-12</v>
      </c>
      <c r="DS113" s="59">
        <f t="shared" si="71"/>
        <v>293.33333333333439</v>
      </c>
      <c r="DT113" s="59">
        <f ca="1">AVERAGE(OFFSET($DS$3,0,0,'Données projet'!$E$14+1,1))-AVERAGE(OFFSET($H$3,0,0,'Données projet'!$E$14+1,1))</f>
        <v>165.39579887388538</v>
      </c>
      <c r="DU113" s="59">
        <f t="shared" si="98"/>
        <v>155.89639262545802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0.79320705993940932</v>
      </c>
      <c r="EC113" s="21">
        <f>EXP(-LN(2)/2)*EC112+(1-EXP(-LN(2)/2))/(LN(2)/2)*DW113*DZ113*VLOOKUP('Données projet'!$B$14,Paramètres!$A$1:$I$89,3,0)*0.475*44/12</f>
        <v>1.2623818961744247E-11</v>
      </c>
      <c r="ED113" s="22">
        <f t="shared" si="72"/>
        <v>0.79320705995203311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-1.1368683772161603E-12</v>
      </c>
      <c r="EK113" s="17">
        <f>EJ113*VLOOKUP('Données projet'!$B$15,Paramètres!$A$1:$I$89,3,0)*VLOOKUP('Données projet'!$B$15,Paramètres!$A$1:$I$89,5,0)</f>
        <v>-5.4683368944097316E-13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252.30925789500111</v>
      </c>
      <c r="EP113" s="59">
        <f t="shared" si="100"/>
        <v>213.96033794804805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0.95003912718379457</v>
      </c>
      <c r="EW113" s="21">
        <f>EXP(-LN(2)/25)*EW112+(1-EXP(-LN(2)/25))/(LN(2)/25)*Calculateur!ER113*Calculateur!ET113*VLOOKUP('Données projet'!$B$15,Paramètres!$A$1:$I$89,3,0)*0.475*44/12</f>
        <v>1.0042242509293002</v>
      </c>
      <c r="EX113" s="21">
        <f>EXP(-LN(2)/2)*EX112+(1-EXP(-LN(2)/2))/(LN(2)/2)*ER113*EU113*VLOOKUP('Données projet'!$B$15,Paramètres!$A$1:$I$89,3,0)*0.475*44/12</f>
        <v>1.3076295187520453E-11</v>
      </c>
      <c r="EY113" s="22">
        <f t="shared" si="75"/>
        <v>1.9542633781261709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-1.1368683772161603E-12</v>
      </c>
      <c r="FF113" s="17">
        <f>FE113*VLOOKUP('Données projet'!$B$16,Paramètres!$A$1:$I$89,3,0)*VLOOKUP('Données projet'!$B$16,Paramètres!$A$1:$I$89,5,0)</f>
        <v>-5.4683368944097316E-13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252.30925789500111</v>
      </c>
      <c r="FK113" s="59">
        <f t="shared" si="102"/>
        <v>213.96033794804805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0.95003912718379457</v>
      </c>
      <c r="FR113" s="21">
        <f>EXP(-LN(2)/25)*FR112+(1-EXP(-LN(2)/25))/(LN(2)/25)*Calculateur!FM113*Calculateur!FO113*VLOOKUP('Données projet'!$B$16,Paramètres!$A$1:$I$89,3,0)*0.475*44/12</f>
        <v>1.0042242509293002</v>
      </c>
      <c r="FS113" s="21">
        <f>EXP(-LN(2)/2)*FS112+(1-EXP(-LN(2)/2))/(LN(2)/2)*FM113*FP113*VLOOKUP('Données projet'!$B$16,Paramètres!$A$1:$I$89,3,0)*0.475*44/12</f>
        <v>1.3076295187520453E-11</v>
      </c>
      <c r="FT113" s="22">
        <f t="shared" si="78"/>
        <v>1.9542633781261709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117.54638373164624</v>
      </c>
      <c r="GF113" s="59">
        <f t="shared" si="104"/>
        <v>133.0740262536583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0.4537067069549382</v>
      </c>
      <c r="GM113" s="21">
        <f>EXP(-LN(2)/25)*GM112+(1-EXP(-LN(2)/25))/(LN(2)/25)*Calculateur!GH113*Calculateur!GJ113*VLOOKUP('Données projet'!$B$17,Paramètres!$A$1:$I$89,3,0)*0.475*44/12</f>
        <v>0.94189100702887607</v>
      </c>
      <c r="GN113" s="21">
        <f>EXP(-LN(2)/2)*GN112+(1-EXP(-LN(2)/2))/(LN(2)/2)*GH113*GK113*VLOOKUP('Données projet'!$B$17,Paramètres!$A$1:$I$89,3,0)*0.475*44/12</f>
        <v>3.6793813803132618E-12</v>
      </c>
      <c r="GO113" s="21">
        <f t="shared" si="81"/>
        <v>1.3955977139874935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2.8421709430404007E-14</v>
      </c>
      <c r="GV113" s="17">
        <f>GU113*VLOOKUP('Données projet'!$B$18,Paramètres!$A$1:$I$89,3,0)*VLOOKUP('Données projet'!$B$18,Paramètres!$A$1:$I$89,5,0)</f>
        <v>1.3567387213697657E-14</v>
      </c>
      <c r="GW113" s="13">
        <f t="shared" si="105"/>
        <v>2.5717320947985821E-13</v>
      </c>
      <c r="GX113" s="20">
        <f t="shared" si="82"/>
        <v>4.7153987257460977E-13</v>
      </c>
      <c r="GY113" s="59">
        <f t="shared" si="83"/>
        <v>293.33333333333377</v>
      </c>
      <c r="GZ113" s="59">
        <f ca="1">AVERAGE(OFFSET($GY$3,0,0,'Données projet'!$E$18+1,1))-AVERAGE(OFFSET($H$3,0,0,'Données projet'!$E$18+1,1))</f>
        <v>43.147469606759159</v>
      </c>
      <c r="HA113" s="59">
        <f t="shared" si="106"/>
        <v>147.46995307968473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7.3957438133955833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5.0129479608239257E-13</v>
      </c>
      <c r="HJ113" s="22">
        <f t="shared" si="84"/>
        <v>7.3957438133960842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2.8</v>
      </c>
      <c r="N114" s="13">
        <f>IF('Données projet'!$A$36&gt;35,N113+M114-V113,IF(A114&lt;'Données projet'!$A$36,$K$205^A114,IF(A114='Données projet'!$A$36,'Données projet'!$B$36,N113+M114-V113)))</f>
        <v>208.79999999999993</v>
      </c>
      <c r="O114" s="13">
        <f>N114*VLOOKUP('Données projet'!$B$9,Paramètres!$A$1:$I$89,3,0)*VLOOKUP('Données projet'!$B$9,Paramètres!$A$1:$I$89,5,0)</f>
        <v>188.9222399999999</v>
      </c>
      <c r="P114" s="13">
        <f t="shared" si="87"/>
        <v>47.301596587245974</v>
      </c>
      <c r="Q114" s="20">
        <f t="shared" si="107"/>
        <v>411.42318205611986</v>
      </c>
      <c r="R114" s="59">
        <f t="shared" si="55"/>
        <v>704.75651538945317</v>
      </c>
      <c r="S114" s="59">
        <f ca="1">AVERAGE(OFFSET($R$3,0,0,'Données projet'!$E$9+1,1))-AVERAGE(OFFSET($H$3,0,0,'Données projet'!$E$9+1,1))</f>
        <v>138.8931001150624</v>
      </c>
      <c r="T114" s="59">
        <f t="shared" si="88"/>
        <v>48.964659354096625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-7.4487616075202836E-14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191.94797389630673</v>
      </c>
      <c r="AO114" s="59">
        <f t="shared" si="90"/>
        <v>273.52540822767878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1.4869007559462666</v>
      </c>
      <c r="AW114" s="21">
        <f>EXP(-LN(2)/2)*AW113+(1-EXP(-LN(2)/2))/(LN(2)/2)*AQ114*AT114*VLOOKUP('Données projet'!$B$10,Paramètres!$A$1:$I$89,3,0)*0.475*44/12</f>
        <v>1.4922118802857173E-11</v>
      </c>
      <c r="AX114" s="21">
        <f t="shared" si="60"/>
        <v>2.0045677340701964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3.5470293369144201E-14</v>
      </c>
      <c r="BF114" s="13">
        <f t="shared" si="91"/>
        <v>6.0119115841663204E-13</v>
      </c>
      <c r="BG114" s="20">
        <f t="shared" si="61"/>
        <v>1.1088520285268936E-12</v>
      </c>
      <c r="BH114" s="59">
        <f t="shared" si="62"/>
        <v>293.33333333333445</v>
      </c>
      <c r="BI114" s="59">
        <f ca="1">AVERAGE(OFFSET($BH$3,0,0,'Données projet'!$E$11+1,1))-AVERAGE(OFFSET($H$3,0,0,'Données projet'!$E$11+1,1))</f>
        <v>162.91481796710048</v>
      </c>
      <c r="BJ114" s="59">
        <f t="shared" si="92"/>
        <v>182.56192390367823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0.55922014139307574</v>
      </c>
      <c r="BQ114" s="21">
        <f>EXP(-LN(2)/25)*BQ113+(1-EXP(-LN(2)/25))/(LN(2)/25)*Calculateur!BL114*Calculateur!BN114*VLOOKUP('Données projet'!$B$11,Paramètres!$A$1:$I$89,3,0)*0.475*44/12</f>
        <v>1.6171351313727202</v>
      </c>
      <c r="BR114" s="21">
        <f>EXP(-LN(2)/2)*BR113+(1-EXP(-LN(2)/2))/(LN(2)/2)*BL114*BO114*VLOOKUP('Données projet'!$B$11,Paramètres!$A$1:$I$89,3,0)*0.475*44/12</f>
        <v>1.1556501357820466E-11</v>
      </c>
      <c r="BS114" s="22">
        <f t="shared" si="63"/>
        <v>2.1763552727773523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-5.3205440053716299E-14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123.60520571614535</v>
      </c>
      <c r="CE114" s="59">
        <f t="shared" si="94"/>
        <v>119.00926870519527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0.17438181641208211</v>
      </c>
      <c r="CL114" s="21">
        <f>EXP(-LN(2)/25)*CL113+(1-EXP(-LN(2)/25))/(LN(2)/25)*Calculateur!CG114*Calculateur!CI114*VLOOKUP('Données projet'!$B$12,Paramètres!$A$1:$I$89,3,0)*0.475*44/12</f>
        <v>0.50558720211007246</v>
      </c>
      <c r="CM114" s="21">
        <f>EXP(-LN(2)/2)*CM113+(1-EXP(-LN(2)/2))/(LN(2)/2)*CG114*CJ114*VLOOKUP('Données projet'!$B$12,Paramètres!$A$1:$I$89,3,0)*0.475*44/12</f>
        <v>3.9317875657214294E-12</v>
      </c>
      <c r="CN114" s="22">
        <f t="shared" si="66"/>
        <v>0.67996901852608627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2.8</v>
      </c>
      <c r="CT114" s="12">
        <f>IF('Données projet'!$A$140&gt;35,CT113+CS114-DB113,IF(A114&lt;'Données projet'!$A$140,$CQ$205^A114,IF(A114='Données projet'!$A$140,'Données projet'!$B$140,CT113+CS114-DB113)))</f>
        <v>208.79999999999993</v>
      </c>
      <c r="CU114" s="17">
        <f>CT114*VLOOKUP('Données projet'!$B$13,Paramètres!$A$1:$I$89,3,0)*VLOOKUP('Données projet'!$B$13,Paramètres!$A$1:$I$89,5,0)</f>
        <v>218.23775999999995</v>
      </c>
      <c r="CV114" s="13">
        <f t="shared" si="95"/>
        <v>53.731692470599071</v>
      </c>
      <c r="CW114" s="20">
        <f t="shared" si="67"/>
        <v>473.68012971962662</v>
      </c>
      <c r="CX114" s="59">
        <f t="shared" si="68"/>
        <v>767.01346305295988</v>
      </c>
      <c r="CY114" s="59">
        <f ca="1">AVERAGE(OFFSET($CX$3,0,0,'Données projet'!$E$13+1,1))-AVERAGE(OFFSET($H$3,0,0,'Données projet'!$E$13+1,1))</f>
        <v>177.94336949486529</v>
      </c>
      <c r="CZ114" s="59">
        <f t="shared" si="96"/>
        <v>65.559373432574603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3.3992364478763198E-14</v>
      </c>
      <c r="DQ114" s="13">
        <f t="shared" si="97"/>
        <v>5.790027782444094E-13</v>
      </c>
      <c r="DR114" s="20">
        <f t="shared" si="70"/>
        <v>1.0676332069095257E-12</v>
      </c>
      <c r="DS114" s="59">
        <f t="shared" si="71"/>
        <v>293.33333333333439</v>
      </c>
      <c r="DT114" s="59">
        <f ca="1">AVERAGE(OFFSET($DS$3,0,0,'Données projet'!$E$14+1,1))-AVERAGE(OFFSET($H$3,0,0,'Données projet'!$E$14+1,1))</f>
        <v>165.39579887388538</v>
      </c>
      <c r="DU114" s="59">
        <f t="shared" si="98"/>
        <v>155.89639262545802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0.77151677117241979</v>
      </c>
      <c r="EC114" s="21">
        <f>EXP(-LN(2)/2)*EC113+(1-EXP(-LN(2)/2))/(LN(2)/2)*DW114*DZ114*VLOOKUP('Données projet'!$B$14,Paramètres!$A$1:$I$89,3,0)*0.475*44/12</f>
        <v>8.9263879923206789E-12</v>
      </c>
      <c r="ED114" s="22">
        <f t="shared" si="72"/>
        <v>0.77151677118134621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-1.1368683772161603E-12</v>
      </c>
      <c r="EK114" s="17">
        <f>EJ114*VLOOKUP('Données projet'!$B$15,Paramètres!$A$1:$I$89,3,0)*VLOOKUP('Données projet'!$B$15,Paramètres!$A$1:$I$89,5,0)</f>
        <v>-5.4683368944097316E-13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252.30925789500111</v>
      </c>
      <c r="EP114" s="59">
        <f t="shared" si="100"/>
        <v>213.96033794804805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0.93140943936637033</v>
      </c>
      <c r="EW114" s="21">
        <f>EXP(-LN(2)/25)*EW113+(1-EXP(-LN(2)/25))/(LN(2)/25)*Calculateur!ER114*Calculateur!ET114*VLOOKUP('Données projet'!$B$15,Paramètres!$A$1:$I$89,3,0)*0.475*44/12</f>
        <v>0.97676368597778029</v>
      </c>
      <c r="EX114" s="21">
        <f>EXP(-LN(2)/2)*EX113+(1-EXP(-LN(2)/2))/(LN(2)/2)*ER114*EU114*VLOOKUP('Données projet'!$B$15,Paramètres!$A$1:$I$89,3,0)*0.475*44/12</f>
        <v>9.2463369998927289E-12</v>
      </c>
      <c r="EY114" s="22">
        <f t="shared" si="75"/>
        <v>1.9081731253533971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-1.1368683772161603E-12</v>
      </c>
      <c r="FF114" s="17">
        <f>FE114*VLOOKUP('Données projet'!$B$16,Paramètres!$A$1:$I$89,3,0)*VLOOKUP('Données projet'!$B$16,Paramètres!$A$1:$I$89,5,0)</f>
        <v>-5.4683368944097316E-13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252.30925789500111</v>
      </c>
      <c r="FK114" s="59">
        <f t="shared" si="102"/>
        <v>213.96033794804805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0.93140943936637033</v>
      </c>
      <c r="FR114" s="21">
        <f>EXP(-LN(2)/25)*FR113+(1-EXP(-LN(2)/25))/(LN(2)/25)*Calculateur!FM114*Calculateur!FO114*VLOOKUP('Données projet'!$B$16,Paramètres!$A$1:$I$89,3,0)*0.475*44/12</f>
        <v>0.97676368597778029</v>
      </c>
      <c r="FS114" s="21">
        <f>EXP(-LN(2)/2)*FS113+(1-EXP(-LN(2)/2))/(LN(2)/2)*FM114*FP114*VLOOKUP('Données projet'!$B$16,Paramètres!$A$1:$I$89,3,0)*0.475*44/12</f>
        <v>9.2463369998927289E-12</v>
      </c>
      <c r="FT114" s="22">
        <f t="shared" si="78"/>
        <v>1.9081731253533971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117.54638373164624</v>
      </c>
      <c r="GF114" s="59">
        <f t="shared" si="104"/>
        <v>133.0740262536583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0.44480979516531793</v>
      </c>
      <c r="GM114" s="21">
        <f>EXP(-LN(2)/25)*GM113+(1-EXP(-LN(2)/25))/(LN(2)/25)*Calculateur!GH114*Calculateur!GJ114*VLOOKUP('Données projet'!$B$17,Paramètres!$A$1:$I$89,3,0)*0.475*44/12</f>
        <v>0.91613494790977612</v>
      </c>
      <c r="GN114" s="21">
        <f>EXP(-LN(2)/2)*GN113+(1-EXP(-LN(2)/2))/(LN(2)/2)*GH114*GK114*VLOOKUP('Données projet'!$B$17,Paramètres!$A$1:$I$89,3,0)*0.475*44/12</f>
        <v>2.6017155245910268E-12</v>
      </c>
      <c r="GO114" s="21">
        <f t="shared" si="81"/>
        <v>1.3609447430776958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2.8421709430404007E-14</v>
      </c>
      <c r="GV114" s="17">
        <f>GU114*VLOOKUP('Données projet'!$B$18,Paramètres!$A$1:$I$89,3,0)*VLOOKUP('Données projet'!$B$18,Paramètres!$A$1:$I$89,5,0)</f>
        <v>1.3567387213697657E-14</v>
      </c>
      <c r="GW114" s="13">
        <f t="shared" si="105"/>
        <v>2.5717320947985821E-13</v>
      </c>
      <c r="GX114" s="20">
        <f t="shared" si="82"/>
        <v>4.7153987257460977E-13</v>
      </c>
      <c r="GY114" s="59">
        <f t="shared" si="83"/>
        <v>293.33333333333377</v>
      </c>
      <c r="GZ114" s="59">
        <f ca="1">AVERAGE(OFFSET($GY$3,0,0,'Données projet'!$E$18+1,1))-AVERAGE(OFFSET($H$3,0,0,'Données projet'!$E$18+1,1))</f>
        <v>43.147469606759159</v>
      </c>
      <c r="HA114" s="59">
        <f t="shared" si="106"/>
        <v>147.46995307968473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7.2507177881732021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3.5446894968338733E-13</v>
      </c>
      <c r="HJ114" s="22">
        <f t="shared" si="84"/>
        <v>7.2507177881735565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2.8</v>
      </c>
      <c r="N115" s="13">
        <f>IF('Données projet'!$A$36&gt;35,N114+M115-V114,IF(A115&lt;'Données projet'!$A$36,$K$205^A115,IF(A115='Données projet'!$A$36,'Données projet'!$B$36,N114+M115-V114)))</f>
        <v>211.59999999999994</v>
      </c>
      <c r="O115" s="13">
        <f>N115*VLOOKUP('Données projet'!$B$9,Paramètres!$A$1:$I$89,3,0)*VLOOKUP('Données projet'!$B$9,Paramètres!$A$1:$I$89,5,0)</f>
        <v>191.45567999999994</v>
      </c>
      <c r="P115" s="13">
        <f t="shared" si="87"/>
        <v>47.861639935303188</v>
      </c>
      <c r="Q115" s="20">
        <f t="shared" si="107"/>
        <v>416.81099888731961</v>
      </c>
      <c r="R115" s="59">
        <f t="shared" si="55"/>
        <v>710.14433222065293</v>
      </c>
      <c r="S115" s="59">
        <f ca="1">AVERAGE(OFFSET($R$3,0,0,'Données projet'!$E$9+1,1))-AVERAGE(OFFSET($H$3,0,0,'Données projet'!$E$9+1,1))</f>
        <v>138.8931001150624</v>
      </c>
      <c r="T115" s="59">
        <f t="shared" si="88"/>
        <v>48.964659354096625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-7.4487616075202836E-14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191.94797389630673</v>
      </c>
      <c r="AO115" s="59">
        <f t="shared" si="90"/>
        <v>273.52540822767878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1.4462413765822035</v>
      </c>
      <c r="AW115" s="21">
        <f>EXP(-LN(2)/2)*AW114+(1-EXP(-LN(2)/2))/(LN(2)/2)*AQ115*AT115*VLOOKUP('Données projet'!$B$10,Paramètres!$A$1:$I$89,3,0)*0.475*44/12</f>
        <v>1.0551531395171594E-11</v>
      </c>
      <c r="AX115" s="21">
        <f t="shared" si="60"/>
        <v>1.9537572210067242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3.5470293369144201E-14</v>
      </c>
      <c r="BF115" s="13">
        <f t="shared" si="91"/>
        <v>6.0119115841663204E-13</v>
      </c>
      <c r="BG115" s="20">
        <f t="shared" si="61"/>
        <v>1.1088520285268936E-12</v>
      </c>
      <c r="BH115" s="59">
        <f t="shared" si="62"/>
        <v>293.33333333333445</v>
      </c>
      <c r="BI115" s="59">
        <f ca="1">AVERAGE(OFFSET($BH$3,0,0,'Données projet'!$E$11+1,1))-AVERAGE(OFFSET($H$3,0,0,'Données projet'!$E$11+1,1))</f>
        <v>162.91481796710048</v>
      </c>
      <c r="BJ115" s="59">
        <f t="shared" si="92"/>
        <v>182.56192390367823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0.54825417551096389</v>
      </c>
      <c r="BQ115" s="21">
        <f>EXP(-LN(2)/25)*BQ114+(1-EXP(-LN(2)/25))/(LN(2)/25)*Calculateur!BL115*Calculateur!BN115*VLOOKUP('Données projet'!$B$11,Paramètres!$A$1:$I$89,3,0)*0.475*44/12</f>
        <v>1.5729144861638926</v>
      </c>
      <c r="BR115" s="21">
        <f>EXP(-LN(2)/2)*BR114+(1-EXP(-LN(2)/2))/(LN(2)/2)*BL115*BO115*VLOOKUP('Données projet'!$B$11,Paramètres!$A$1:$I$89,3,0)*0.475*44/12</f>
        <v>8.1716804769063953E-12</v>
      </c>
      <c r="BS115" s="22">
        <f t="shared" si="63"/>
        <v>2.1211686616830283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-5.3205440053716299E-14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123.60520571614535</v>
      </c>
      <c r="CE115" s="59">
        <f t="shared" si="94"/>
        <v>119.00926870519527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0.17096229535464677</v>
      </c>
      <c r="CL115" s="21">
        <f>EXP(-LN(2)/25)*CL114+(1-EXP(-LN(2)/25))/(LN(2)/25)*Calculateur!CG115*Calculateur!CI115*VLOOKUP('Données projet'!$B$12,Paramètres!$A$1:$I$89,3,0)*0.475*44/12</f>
        <v>0.4917618934806971</v>
      </c>
      <c r="CM115" s="21">
        <f>EXP(-LN(2)/2)*CM114+(1-EXP(-LN(2)/2))/(LN(2)/2)*CG115*CJ115*VLOOKUP('Données projet'!$B$12,Paramètres!$A$1:$I$89,3,0)*0.475*44/12</f>
        <v>2.7801936499065712E-12</v>
      </c>
      <c r="CN115" s="22">
        <f t="shared" si="66"/>
        <v>0.66272418883812412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2.8</v>
      </c>
      <c r="CT115" s="12">
        <f>IF('Données projet'!$A$140&gt;35,CT114+CS115-DB114,IF(A115&lt;'Données projet'!$A$140,$CQ$205^A115,IF(A115='Données projet'!$A$140,'Données projet'!$B$140,CT114+CS115-DB114)))</f>
        <v>211.59999999999994</v>
      </c>
      <c r="CU115" s="17">
        <f>CT115*VLOOKUP('Données projet'!$B$13,Paramètres!$A$1:$I$89,3,0)*VLOOKUP('Données projet'!$B$13,Paramètres!$A$1:$I$89,5,0)</f>
        <v>221.16431999999995</v>
      </c>
      <c r="CV115" s="13">
        <f t="shared" si="95"/>
        <v>54.367867126828841</v>
      </c>
      <c r="CW115" s="20">
        <f t="shared" si="67"/>
        <v>479.88522591256009</v>
      </c>
      <c r="CX115" s="59">
        <f t="shared" si="68"/>
        <v>773.2185592458934</v>
      </c>
      <c r="CY115" s="59">
        <f ca="1">AVERAGE(OFFSET($CX$3,0,0,'Données projet'!$E$13+1,1))-AVERAGE(OFFSET($H$3,0,0,'Données projet'!$E$13+1,1))</f>
        <v>177.94336949486529</v>
      </c>
      <c r="CZ115" s="59">
        <f t="shared" si="96"/>
        <v>65.559373432574603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3.3992364478763198E-14</v>
      </c>
      <c r="DQ115" s="13">
        <f t="shared" si="97"/>
        <v>5.790027782444094E-13</v>
      </c>
      <c r="DR115" s="20">
        <f t="shared" si="70"/>
        <v>1.0676332069095257E-12</v>
      </c>
      <c r="DS115" s="59">
        <f t="shared" si="71"/>
        <v>293.33333333333439</v>
      </c>
      <c r="DT115" s="59">
        <f ca="1">AVERAGE(OFFSET($DS$3,0,0,'Données projet'!$E$14+1,1))-AVERAGE(OFFSET($H$3,0,0,'Données projet'!$E$14+1,1))</f>
        <v>165.39579887388538</v>
      </c>
      <c r="DU115" s="59">
        <f t="shared" si="98"/>
        <v>155.89639262545802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0.7504196044924063</v>
      </c>
      <c r="EC115" s="21">
        <f>EXP(-LN(2)/2)*EC114+(1-EXP(-LN(2)/2))/(LN(2)/2)*DW115*DZ115*VLOOKUP('Données projet'!$B$14,Paramètres!$A$1:$I$89,3,0)*0.475*44/12</f>
        <v>6.3119094808721237E-12</v>
      </c>
      <c r="ED115" s="22">
        <f t="shared" si="72"/>
        <v>0.75041960449871825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-1.1368683772161603E-12</v>
      </c>
      <c r="EK115" s="17">
        <f>EJ115*VLOOKUP('Données projet'!$B$15,Paramètres!$A$1:$I$89,3,0)*VLOOKUP('Données projet'!$B$15,Paramètres!$A$1:$I$89,5,0)</f>
        <v>-5.4683368944097316E-13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252.30925789500111</v>
      </c>
      <c r="EP115" s="59">
        <f t="shared" si="100"/>
        <v>213.96033794804805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0.91314506836405829</v>
      </c>
      <c r="EW115" s="21">
        <f>EXP(-LN(2)/25)*EW114+(1-EXP(-LN(2)/25))/(LN(2)/25)*Calculateur!ER115*Calculateur!ET115*VLOOKUP('Données projet'!$B$15,Paramètres!$A$1:$I$89,3,0)*0.475*44/12</f>
        <v>0.95005403161894808</v>
      </c>
      <c r="EX115" s="21">
        <f>EXP(-LN(2)/2)*EX114+(1-EXP(-LN(2)/2))/(LN(2)/2)*ER115*EU115*VLOOKUP('Données projet'!$B$15,Paramètres!$A$1:$I$89,3,0)*0.475*44/12</f>
        <v>6.5381475937602263E-12</v>
      </c>
      <c r="EY115" s="22">
        <f t="shared" si="75"/>
        <v>1.8631990999895445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-1.1368683772161603E-12</v>
      </c>
      <c r="FF115" s="17">
        <f>FE115*VLOOKUP('Données projet'!$B$16,Paramètres!$A$1:$I$89,3,0)*VLOOKUP('Données projet'!$B$16,Paramètres!$A$1:$I$89,5,0)</f>
        <v>-5.4683368944097316E-13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252.30925789500111</v>
      </c>
      <c r="FK115" s="59">
        <f t="shared" si="102"/>
        <v>213.96033794804805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0.91314506836405829</v>
      </c>
      <c r="FR115" s="21">
        <f>EXP(-LN(2)/25)*FR114+(1-EXP(-LN(2)/25))/(LN(2)/25)*Calculateur!FM115*Calculateur!FO115*VLOOKUP('Données projet'!$B$16,Paramètres!$A$1:$I$89,3,0)*0.475*44/12</f>
        <v>0.95005403161894808</v>
      </c>
      <c r="FS115" s="21">
        <f>EXP(-LN(2)/2)*FS114+(1-EXP(-LN(2)/2))/(LN(2)/2)*FM115*FP115*VLOOKUP('Données projet'!$B$16,Paramètres!$A$1:$I$89,3,0)*0.475*44/12</f>
        <v>6.5381475937602263E-12</v>
      </c>
      <c r="FT115" s="22">
        <f t="shared" si="78"/>
        <v>1.8631990999895445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117.54638373164624</v>
      </c>
      <c r="GF115" s="59">
        <f t="shared" si="104"/>
        <v>133.0740262536583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0.43608734638931174</v>
      </c>
      <c r="GM115" s="21">
        <f>EXP(-LN(2)/25)*GM114+(1-EXP(-LN(2)/25))/(LN(2)/25)*Calculateur!GH115*Calculateur!GJ115*VLOOKUP('Données projet'!$B$17,Paramètres!$A$1:$I$89,3,0)*0.475*44/12</f>
        <v>0.89108318958174026</v>
      </c>
      <c r="GN115" s="21">
        <f>EXP(-LN(2)/2)*GN114+(1-EXP(-LN(2)/2))/(LN(2)/2)*GH115*GK115*VLOOKUP('Données projet'!$B$17,Paramètres!$A$1:$I$89,3,0)*0.475*44/12</f>
        <v>1.8396906901566309E-12</v>
      </c>
      <c r="GO115" s="21">
        <f t="shared" si="81"/>
        <v>1.3271705359728916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2.8421709430404007E-14</v>
      </c>
      <c r="GV115" s="17">
        <f>GU115*VLOOKUP('Données projet'!$B$18,Paramètres!$A$1:$I$89,3,0)*VLOOKUP('Données projet'!$B$18,Paramètres!$A$1:$I$89,5,0)</f>
        <v>1.3567387213697657E-14</v>
      </c>
      <c r="GW115" s="13">
        <f t="shared" si="105"/>
        <v>2.5717320947985821E-13</v>
      </c>
      <c r="GX115" s="20">
        <f t="shared" si="82"/>
        <v>4.7153987257460977E-13</v>
      </c>
      <c r="GY115" s="59">
        <f t="shared" si="83"/>
        <v>293.33333333333377</v>
      </c>
      <c r="GZ115" s="59">
        <f ca="1">AVERAGE(OFFSET($GY$3,0,0,'Données projet'!$E$18+1,1))-AVERAGE(OFFSET($H$3,0,0,'Données projet'!$E$18+1,1))</f>
        <v>43.147469606759159</v>
      </c>
      <c r="HA115" s="59">
        <f t="shared" si="106"/>
        <v>147.46995307968473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7.1085356348482911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2.5064739804119628E-13</v>
      </c>
      <c r="HJ115" s="22">
        <f t="shared" si="84"/>
        <v>7.1085356348485416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2.8</v>
      </c>
      <c r="N116" s="13">
        <f>IF('Données projet'!$A$36&gt;35,N115+M116-V115,IF(A116&lt;'Données projet'!$A$36,$K$205^A116,IF(A116='Données projet'!$A$36,'Données projet'!$B$36,N115+M116-V115)))</f>
        <v>214.39999999999995</v>
      </c>
      <c r="O116" s="13">
        <f>N116*VLOOKUP('Données projet'!$B$9,Paramètres!$A$1:$I$89,3,0)*VLOOKUP('Données projet'!$B$9,Paramètres!$A$1:$I$89,5,0)</f>
        <v>193.98911999999996</v>
      </c>
      <c r="P116" s="13">
        <f t="shared" si="87"/>
        <v>48.420821305775434</v>
      </c>
      <c r="Q116" s="20">
        <f t="shared" si="107"/>
        <v>422.19731444089211</v>
      </c>
      <c r="R116" s="59">
        <f t="shared" si="55"/>
        <v>715.53064777422537</v>
      </c>
      <c r="S116" s="59">
        <f ca="1">AVERAGE(OFFSET($R$3,0,0,'Données projet'!$E$9+1,1))-AVERAGE(OFFSET($H$3,0,0,'Données projet'!$E$9+1,1))</f>
        <v>138.8931001150624</v>
      </c>
      <c r="T116" s="59">
        <f t="shared" si="88"/>
        <v>48.964659354096625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-7.4487616075202836E-14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191.94797389630673</v>
      </c>
      <c r="AO116" s="59">
        <f t="shared" si="90"/>
        <v>273.52540822767878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1.4066938300850347</v>
      </c>
      <c r="AW116" s="21">
        <f>EXP(-LN(2)/2)*AW115+(1-EXP(-LN(2)/2))/(LN(2)/2)*AQ116*AT116*VLOOKUP('Données projet'!$B$10,Paramètres!$A$1:$I$89,3,0)*0.475*44/12</f>
        <v>7.4610594014285863E-12</v>
      </c>
      <c r="AX116" s="21">
        <f t="shared" si="60"/>
        <v>1.9042575983516061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3.5470293369144201E-14</v>
      </c>
      <c r="BF116" s="13">
        <f t="shared" si="91"/>
        <v>6.0119115841663204E-13</v>
      </c>
      <c r="BG116" s="20">
        <f t="shared" si="61"/>
        <v>1.1088520285268936E-12</v>
      </c>
      <c r="BH116" s="59">
        <f t="shared" si="62"/>
        <v>293.33333333333445</v>
      </c>
      <c r="BI116" s="59">
        <f ca="1">AVERAGE(OFFSET($BH$3,0,0,'Données projet'!$E$11+1,1))-AVERAGE(OFFSET($H$3,0,0,'Données projet'!$E$11+1,1))</f>
        <v>162.91481796710048</v>
      </c>
      <c r="BJ116" s="59">
        <f t="shared" si="92"/>
        <v>182.56192390367823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0.53750324553122153</v>
      </c>
      <c r="BQ116" s="21">
        <f>EXP(-LN(2)/25)*BQ115+(1-EXP(-LN(2)/25))/(LN(2)/25)*Calculateur!BL116*Calculateur!BN116*VLOOKUP('Données projet'!$B$11,Paramètres!$A$1:$I$89,3,0)*0.475*44/12</f>
        <v>1.529903056823763</v>
      </c>
      <c r="BR116" s="21">
        <f>EXP(-LN(2)/2)*BR115+(1-EXP(-LN(2)/2))/(LN(2)/2)*BL116*BO116*VLOOKUP('Données projet'!$B$11,Paramètres!$A$1:$I$89,3,0)*0.475*44/12</f>
        <v>5.7782506789102329E-12</v>
      </c>
      <c r="BS116" s="22">
        <f t="shared" si="63"/>
        <v>2.0674063023607627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-5.3205440053716299E-14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123.60520571614535</v>
      </c>
      <c r="CE116" s="59">
        <f t="shared" si="94"/>
        <v>119.00926870519527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0.16760982901944585</v>
      </c>
      <c r="CL116" s="21">
        <f>EXP(-LN(2)/25)*CL115+(1-EXP(-LN(2)/25))/(LN(2)/25)*Calculateur!CG116*Calculateur!CI116*VLOOKUP('Données projet'!$B$12,Paramètres!$A$1:$I$89,3,0)*0.475*44/12</f>
        <v>0.47831463864283341</v>
      </c>
      <c r="CM116" s="21">
        <f>EXP(-LN(2)/2)*CM115+(1-EXP(-LN(2)/2))/(LN(2)/2)*CG116*CJ116*VLOOKUP('Données projet'!$B$12,Paramètres!$A$1:$I$89,3,0)*0.475*44/12</f>
        <v>1.9658937828607147E-12</v>
      </c>
      <c r="CN116" s="22">
        <f t="shared" si="66"/>
        <v>0.64592446766424516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2.8</v>
      </c>
      <c r="CT116" s="12">
        <f>IF('Données projet'!$A$140&gt;35,CT115+CS116-DB115,IF(A116&lt;'Données projet'!$A$140,$CQ$205^A116,IF(A116='Données projet'!$A$140,'Données projet'!$B$140,CT115+CS116-DB115)))</f>
        <v>214.39999999999995</v>
      </c>
      <c r="CU116" s="17">
        <f>CT116*VLOOKUP('Données projet'!$B$13,Paramètres!$A$1:$I$89,3,0)*VLOOKUP('Données projet'!$B$13,Paramètres!$A$1:$I$89,5,0)</f>
        <v>224.09087999999997</v>
      </c>
      <c r="CV116" s="13">
        <f t="shared" si="95"/>
        <v>55.003062629756201</v>
      </c>
      <c r="CW116" s="20">
        <f t="shared" si="67"/>
        <v>486.08861674682527</v>
      </c>
      <c r="CX116" s="59">
        <f t="shared" si="68"/>
        <v>779.42195008015858</v>
      </c>
      <c r="CY116" s="59">
        <f ca="1">AVERAGE(OFFSET($CX$3,0,0,'Données projet'!$E$13+1,1))-AVERAGE(OFFSET($H$3,0,0,'Données projet'!$E$13+1,1))</f>
        <v>177.94336949486529</v>
      </c>
      <c r="CZ116" s="59">
        <f t="shared" si="96"/>
        <v>65.559373432574603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3.3992364478763198E-14</v>
      </c>
      <c r="DQ116" s="13">
        <f t="shared" si="97"/>
        <v>5.790027782444094E-13</v>
      </c>
      <c r="DR116" s="20">
        <f t="shared" si="70"/>
        <v>1.0676332069095257E-12</v>
      </c>
      <c r="DS116" s="59">
        <f t="shared" si="71"/>
        <v>293.33333333333439</v>
      </c>
      <c r="DT116" s="59">
        <f ca="1">AVERAGE(OFFSET($DS$3,0,0,'Données projet'!$E$14+1,1))-AVERAGE(OFFSET($H$3,0,0,'Données projet'!$E$14+1,1))</f>
        <v>165.39579887388538</v>
      </c>
      <c r="DU116" s="59">
        <f t="shared" si="98"/>
        <v>155.89639262545802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0.72989934094470954</v>
      </c>
      <c r="EC116" s="21">
        <f>EXP(-LN(2)/2)*EC115+(1-EXP(-LN(2)/2))/(LN(2)/2)*DW116*DZ116*VLOOKUP('Données projet'!$B$14,Paramètres!$A$1:$I$89,3,0)*0.475*44/12</f>
        <v>4.4631939961603395E-12</v>
      </c>
      <c r="ED116" s="22">
        <f t="shared" si="72"/>
        <v>0.72989934094917275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-1.1368683772161603E-12</v>
      </c>
      <c r="EK116" s="17">
        <f>EJ116*VLOOKUP('Données projet'!$B$15,Paramètres!$A$1:$I$89,3,0)*VLOOKUP('Données projet'!$B$15,Paramètres!$A$1:$I$89,5,0)</f>
        <v>-5.4683368944097316E-13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252.30925789500111</v>
      </c>
      <c r="EP116" s="59">
        <f t="shared" si="100"/>
        <v>213.96033794804805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0.89523885053693519</v>
      </c>
      <c r="EW116" s="21">
        <f>EXP(-LN(2)/25)*EW115+(1-EXP(-LN(2)/25))/(LN(2)/25)*Calculateur!ER116*Calculateur!ET116*VLOOKUP('Données projet'!$B$15,Paramètres!$A$1:$I$89,3,0)*0.475*44/12</f>
        <v>0.92407475416315776</v>
      </c>
      <c r="EX116" s="21">
        <f>EXP(-LN(2)/2)*EX115+(1-EXP(-LN(2)/2))/(LN(2)/2)*ER116*EU116*VLOOKUP('Données projet'!$B$15,Paramètres!$A$1:$I$89,3,0)*0.475*44/12</f>
        <v>4.6231684999463644E-12</v>
      </c>
      <c r="EY116" s="22">
        <f t="shared" si="75"/>
        <v>1.819313604704716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-1.1368683772161603E-12</v>
      </c>
      <c r="FF116" s="17">
        <f>FE116*VLOOKUP('Données projet'!$B$16,Paramètres!$A$1:$I$89,3,0)*VLOOKUP('Données projet'!$B$16,Paramètres!$A$1:$I$89,5,0)</f>
        <v>-5.4683368944097316E-13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252.30925789500111</v>
      </c>
      <c r="FK116" s="59">
        <f t="shared" si="102"/>
        <v>213.96033794804805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0.89523885053693519</v>
      </c>
      <c r="FR116" s="21">
        <f>EXP(-LN(2)/25)*FR115+(1-EXP(-LN(2)/25))/(LN(2)/25)*Calculateur!FM116*Calculateur!FO116*VLOOKUP('Données projet'!$B$16,Paramètres!$A$1:$I$89,3,0)*0.475*44/12</f>
        <v>0.92407475416315776</v>
      </c>
      <c r="FS116" s="21">
        <f>EXP(-LN(2)/2)*FS115+(1-EXP(-LN(2)/2))/(LN(2)/2)*FM116*FP116*VLOOKUP('Données projet'!$B$16,Paramètres!$A$1:$I$89,3,0)*0.475*44/12</f>
        <v>4.6231684999463644E-12</v>
      </c>
      <c r="FT116" s="22">
        <f t="shared" si="78"/>
        <v>1.819313604704716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117.54638373164624</v>
      </c>
      <c r="GF116" s="59">
        <f t="shared" si="104"/>
        <v>133.0740262536583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0.42753593951363461</v>
      </c>
      <c r="GM116" s="21">
        <f>EXP(-LN(2)/25)*GM115+(1-EXP(-LN(2)/25))/(LN(2)/25)*Calculateur!GH116*Calculateur!GJ116*VLOOKUP('Données projet'!$B$17,Paramètres!$A$1:$I$89,3,0)*0.475*44/12</f>
        <v>0.86671647290259923</v>
      </c>
      <c r="GN116" s="21">
        <f>EXP(-LN(2)/2)*GN115+(1-EXP(-LN(2)/2))/(LN(2)/2)*GH116*GK116*VLOOKUP('Données projet'!$B$17,Paramètres!$A$1:$I$89,3,0)*0.475*44/12</f>
        <v>1.3008577622955134E-12</v>
      </c>
      <c r="GO116" s="21">
        <f t="shared" si="81"/>
        <v>1.2942524124175347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2.8421709430404007E-14</v>
      </c>
      <c r="GV116" s="17">
        <f>GU116*VLOOKUP('Données projet'!$B$18,Paramètres!$A$1:$I$89,3,0)*VLOOKUP('Données projet'!$B$18,Paramètres!$A$1:$I$89,5,0)</f>
        <v>1.3567387213697657E-14</v>
      </c>
      <c r="GW116" s="13">
        <f t="shared" si="105"/>
        <v>2.5717320947985821E-13</v>
      </c>
      <c r="GX116" s="20">
        <f t="shared" si="82"/>
        <v>4.7153987257460977E-13</v>
      </c>
      <c r="GY116" s="59">
        <f t="shared" si="83"/>
        <v>293.33333333333377</v>
      </c>
      <c r="GZ116" s="59">
        <f ca="1">AVERAGE(OFFSET($GY$3,0,0,'Données projet'!$E$18+1,1))-AVERAGE(OFFSET($H$3,0,0,'Données projet'!$E$18+1,1))</f>
        <v>43.147469606759159</v>
      </c>
      <c r="HA116" s="59">
        <f t="shared" si="106"/>
        <v>147.46995307968473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6.969141586827531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1.7723447484169367E-13</v>
      </c>
      <c r="HJ116" s="22">
        <f t="shared" si="84"/>
        <v>6.9691415868277087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2.8</v>
      </c>
      <c r="N117" s="13">
        <f>IF('Données projet'!$A$36&gt;35,N116+M117-V116,IF(A117&lt;'Données projet'!$A$36,$K$205^A117,IF(A117='Données projet'!$A$36,'Données projet'!$B$36,N116+M117-V116)))</f>
        <v>217.19999999999996</v>
      </c>
      <c r="O117" s="13">
        <f>N117*VLOOKUP('Données projet'!$B$9,Paramètres!$A$1:$I$89,3,0)*VLOOKUP('Données projet'!$B$9,Paramètres!$A$1:$I$89,5,0)</f>
        <v>196.52255999999997</v>
      </c>
      <c r="P117" s="13">
        <f t="shared" si="87"/>
        <v>48.979153257338155</v>
      </c>
      <c r="Q117" s="20">
        <f t="shared" si="107"/>
        <v>427.58215058986383</v>
      </c>
      <c r="R117" s="59">
        <f t="shared" si="55"/>
        <v>720.91548392319714</v>
      </c>
      <c r="S117" s="59">
        <f ca="1">AVERAGE(OFFSET($R$3,0,0,'Données projet'!$E$9+1,1))-AVERAGE(OFFSET($H$3,0,0,'Données projet'!$E$9+1,1))</f>
        <v>138.8931001150624</v>
      </c>
      <c r="T117" s="59">
        <f t="shared" si="88"/>
        <v>48.964659354096625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-7.4487616075202836E-14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191.94797389630673</v>
      </c>
      <c r="AO117" s="59">
        <f t="shared" si="90"/>
        <v>273.52540822767878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1.3682277133265459</v>
      </c>
      <c r="AW117" s="21">
        <f>EXP(-LN(2)/2)*AW116+(1-EXP(-LN(2)/2))/(LN(2)/2)*AQ117*AT117*VLOOKUP('Données projet'!$B$10,Paramètres!$A$1:$I$89,3,0)*0.475*44/12</f>
        <v>5.2757656975857968E-12</v>
      </c>
      <c r="AX117" s="21">
        <f t="shared" si="60"/>
        <v>1.8560345595793031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3.5470293369144201E-14</v>
      </c>
      <c r="BF117" s="13">
        <f t="shared" si="91"/>
        <v>6.0119115841663204E-13</v>
      </c>
      <c r="BG117" s="20">
        <f t="shared" si="61"/>
        <v>1.1088520285268936E-12</v>
      </c>
      <c r="BH117" s="59">
        <f t="shared" si="62"/>
        <v>293.33333333333445</v>
      </c>
      <c r="BI117" s="59">
        <f ca="1">AVERAGE(OFFSET($BH$3,0,0,'Données projet'!$E$11+1,1))-AVERAGE(OFFSET($H$3,0,0,'Données projet'!$E$11+1,1))</f>
        <v>162.91481796710048</v>
      </c>
      <c r="BJ117" s="59">
        <f t="shared" si="92"/>
        <v>182.56192390367823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0.52696313473096212</v>
      </c>
      <c r="BQ117" s="21">
        <f>EXP(-LN(2)/25)*BQ116+(1-EXP(-LN(2)/25))/(LN(2)/25)*Calculateur!BL117*Calculateur!BN117*VLOOKUP('Données projet'!$B$11,Paramètres!$A$1:$I$89,3,0)*0.475*44/12</f>
        <v>1.4880677772808122</v>
      </c>
      <c r="BR117" s="21">
        <f>EXP(-LN(2)/2)*BR116+(1-EXP(-LN(2)/2))/(LN(2)/2)*BL117*BO117*VLOOKUP('Données projet'!$B$11,Paramètres!$A$1:$I$89,3,0)*0.475*44/12</f>
        <v>4.0858402384531976E-12</v>
      </c>
      <c r="BS117" s="22">
        <f t="shared" si="63"/>
        <v>2.01503091201586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-5.3205440053716299E-14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123.60520571614535</v>
      </c>
      <c r="CE117" s="59">
        <f t="shared" si="94"/>
        <v>119.00926870519527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0.16432310250427565</v>
      </c>
      <c r="CL117" s="21">
        <f>EXP(-LN(2)/25)*CL116+(1-EXP(-LN(2)/25))/(LN(2)/25)*Calculateur!CG117*Calculateur!CI117*VLOOKUP('Données projet'!$B$12,Paramètres!$A$1:$I$89,3,0)*0.475*44/12</f>
        <v>0.46523509969567151</v>
      </c>
      <c r="CM117" s="21">
        <f>EXP(-LN(2)/2)*CM116+(1-EXP(-LN(2)/2))/(LN(2)/2)*CG117*CJ117*VLOOKUP('Données projet'!$B$12,Paramètres!$A$1:$I$89,3,0)*0.475*44/12</f>
        <v>1.3900968249532856E-12</v>
      </c>
      <c r="CN117" s="22">
        <f t="shared" si="66"/>
        <v>0.62955820220133729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2.8</v>
      </c>
      <c r="CT117" s="12">
        <f>IF('Données projet'!$A$140&gt;35,CT116+CS117-DB116,IF(A117&lt;'Données projet'!$A$140,$CQ$205^A117,IF(A117='Données projet'!$A$140,'Données projet'!$B$140,CT116+CS117-DB116)))</f>
        <v>217.19999999999996</v>
      </c>
      <c r="CU117" s="17">
        <f>CT117*VLOOKUP('Données projet'!$B$13,Paramètres!$A$1:$I$89,3,0)*VLOOKUP('Données projet'!$B$13,Paramètres!$A$1:$I$89,5,0)</f>
        <v>227.01743999999997</v>
      </c>
      <c r="CV117" s="13">
        <f t="shared" si="95"/>
        <v>55.637293245260757</v>
      </c>
      <c r="CW117" s="20">
        <f t="shared" si="67"/>
        <v>492.29032706882913</v>
      </c>
      <c r="CX117" s="59">
        <f t="shared" si="68"/>
        <v>785.62366040216239</v>
      </c>
      <c r="CY117" s="59">
        <f ca="1">AVERAGE(OFFSET($CX$3,0,0,'Données projet'!$E$13+1,1))-AVERAGE(OFFSET($H$3,0,0,'Données projet'!$E$13+1,1))</f>
        <v>177.94336949486529</v>
      </c>
      <c r="CZ117" s="59">
        <f t="shared" si="96"/>
        <v>65.559373432574603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3.3992364478763198E-14</v>
      </c>
      <c r="DQ117" s="13">
        <f t="shared" si="97"/>
        <v>5.790027782444094E-13</v>
      </c>
      <c r="DR117" s="20">
        <f t="shared" si="70"/>
        <v>1.0676332069095257E-12</v>
      </c>
      <c r="DS117" s="59">
        <f t="shared" si="71"/>
        <v>293.33333333333439</v>
      </c>
      <c r="DT117" s="59">
        <f ca="1">AVERAGE(OFFSET($DS$3,0,0,'Données projet'!$E$14+1,1))-AVERAGE(OFFSET($H$3,0,0,'Données projet'!$E$14+1,1))</f>
        <v>165.39579887388538</v>
      </c>
      <c r="DU117" s="59">
        <f t="shared" si="98"/>
        <v>155.89639262545802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0.70994020508283828</v>
      </c>
      <c r="EC117" s="21">
        <f>EXP(-LN(2)/2)*EC116+(1-EXP(-LN(2)/2))/(LN(2)/2)*DW117*DZ117*VLOOKUP('Données projet'!$B$14,Paramètres!$A$1:$I$89,3,0)*0.475*44/12</f>
        <v>3.1559547404360618E-12</v>
      </c>
      <c r="ED117" s="22">
        <f t="shared" si="72"/>
        <v>0.7099402050859942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-1.1368683772161603E-12</v>
      </c>
      <c r="EK117" s="17">
        <f>EJ117*VLOOKUP('Données projet'!$B$15,Paramètres!$A$1:$I$89,3,0)*VLOOKUP('Données projet'!$B$15,Paramètres!$A$1:$I$89,5,0)</f>
        <v>-5.4683368944097316E-13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252.30925789500111</v>
      </c>
      <c r="EP117" s="59">
        <f t="shared" si="100"/>
        <v>213.96033794804805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0.87768376271968762</v>
      </c>
      <c r="EW117" s="21">
        <f>EXP(-LN(2)/25)*EW116+(1-EXP(-LN(2)/25))/(LN(2)/25)*Calculateur!ER117*Calculateur!ET117*VLOOKUP('Données projet'!$B$15,Paramètres!$A$1:$I$89,3,0)*0.475*44/12</f>
        <v>0.89880588141558693</v>
      </c>
      <c r="EX117" s="21">
        <f>EXP(-LN(2)/2)*EX116+(1-EXP(-LN(2)/2))/(LN(2)/2)*ER117*EU117*VLOOKUP('Données projet'!$B$15,Paramètres!$A$1:$I$89,3,0)*0.475*44/12</f>
        <v>3.2690737968801131E-12</v>
      </c>
      <c r="EY117" s="22">
        <f t="shared" si="75"/>
        <v>1.7764896441385438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-1.1368683772161603E-12</v>
      </c>
      <c r="FF117" s="17">
        <f>FE117*VLOOKUP('Données projet'!$B$16,Paramètres!$A$1:$I$89,3,0)*VLOOKUP('Données projet'!$B$16,Paramètres!$A$1:$I$89,5,0)</f>
        <v>-5.4683368944097316E-13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252.30925789500111</v>
      </c>
      <c r="FK117" s="59">
        <f t="shared" si="102"/>
        <v>213.96033794804805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0.87768376271968762</v>
      </c>
      <c r="FR117" s="21">
        <f>EXP(-LN(2)/25)*FR116+(1-EXP(-LN(2)/25))/(LN(2)/25)*Calculateur!FM117*Calculateur!FO117*VLOOKUP('Données projet'!$B$16,Paramètres!$A$1:$I$89,3,0)*0.475*44/12</f>
        <v>0.89880588141558693</v>
      </c>
      <c r="FS117" s="21">
        <f>EXP(-LN(2)/2)*FS116+(1-EXP(-LN(2)/2))/(LN(2)/2)*FM117*FP117*VLOOKUP('Données projet'!$B$16,Paramètres!$A$1:$I$89,3,0)*0.475*44/12</f>
        <v>3.2690737968801131E-12</v>
      </c>
      <c r="FT117" s="22">
        <f t="shared" si="78"/>
        <v>1.7764896441385438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117.54638373164624</v>
      </c>
      <c r="GF117" s="59">
        <f t="shared" si="104"/>
        <v>133.0740262536583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0.41915222051094631</v>
      </c>
      <c r="GM117" s="21">
        <f>EXP(-LN(2)/25)*GM116+(1-EXP(-LN(2)/25))/(LN(2)/25)*Calculateur!GH117*Calculateur!GJ117*VLOOKUP('Données projet'!$B$17,Paramètres!$A$1:$I$89,3,0)*0.475*44/12</f>
        <v>0.84301606537243923</v>
      </c>
      <c r="GN117" s="21">
        <f>EXP(-LN(2)/2)*GN116+(1-EXP(-LN(2)/2))/(LN(2)/2)*GH117*GK117*VLOOKUP('Données projet'!$B$17,Paramètres!$A$1:$I$89,3,0)*0.475*44/12</f>
        <v>9.1984534507831545E-13</v>
      </c>
      <c r="GO117" s="21">
        <f t="shared" si="81"/>
        <v>1.2621682858843055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2.8421709430404007E-14</v>
      </c>
      <c r="GV117" s="17">
        <f>GU117*VLOOKUP('Données projet'!$B$18,Paramètres!$A$1:$I$89,3,0)*VLOOKUP('Données projet'!$B$18,Paramètres!$A$1:$I$89,5,0)</f>
        <v>1.3567387213697657E-14</v>
      </c>
      <c r="GW117" s="13">
        <f t="shared" si="105"/>
        <v>2.5717320947985821E-13</v>
      </c>
      <c r="GX117" s="20">
        <f t="shared" si="82"/>
        <v>4.7153987257460977E-13</v>
      </c>
      <c r="GY117" s="59">
        <f t="shared" si="83"/>
        <v>293.33333333333377</v>
      </c>
      <c r="GZ117" s="59">
        <f ca="1">AVERAGE(OFFSET($GY$3,0,0,'Données projet'!$E$18+1,1))-AVERAGE(OFFSET($H$3,0,0,'Données projet'!$E$18+1,1))</f>
        <v>43.147469606759159</v>
      </c>
      <c r="HA117" s="59">
        <f t="shared" si="106"/>
        <v>147.46995307968473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6.8324809710664836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1.2532369902059814E-13</v>
      </c>
      <c r="HJ117" s="22">
        <f t="shared" si="84"/>
        <v>6.8324809710666088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2.8</v>
      </c>
      <c r="N118" s="13">
        <f>IF('Données projet'!$A$36&gt;35,N117+M118-V117,IF(A118&lt;'Données projet'!$A$36,$K$205^A118,IF(A118='Données projet'!$A$36,'Données projet'!$B$36,N117+M118-V117)))</f>
        <v>219.99999999999997</v>
      </c>
      <c r="O118" s="13">
        <f>N118*VLOOKUP('Données projet'!$B$9,Paramètres!$A$1:$I$89,3,0)*VLOOKUP('Données projet'!$B$9,Paramètres!$A$1:$I$89,5,0)</f>
        <v>199.05599999999998</v>
      </c>
      <c r="P118" s="13">
        <f t="shared" si="87"/>
        <v>49.536648006253934</v>
      </c>
      <c r="Q118" s="20">
        <f t="shared" si="107"/>
        <v>432.96552861089225</v>
      </c>
      <c r="R118" s="59">
        <f t="shared" si="55"/>
        <v>726.29886194422556</v>
      </c>
      <c r="S118" s="59">
        <f ca="1">AVERAGE(OFFSET($R$3,0,0,'Données projet'!$E$9+1,1))-AVERAGE(OFFSET($H$3,0,0,'Données projet'!$E$9+1,1))</f>
        <v>138.8931001150624</v>
      </c>
      <c r="T118" s="59">
        <f t="shared" si="88"/>
        <v>48.964659354096625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-7.4487616075202836E-14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191.94797389630673</v>
      </c>
      <c r="AO118" s="59">
        <f t="shared" si="90"/>
        <v>273.52540822767878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1.3308134545536632</v>
      </c>
      <c r="AW118" s="21">
        <f>EXP(-LN(2)/2)*AW117+(1-EXP(-LN(2)/2))/(LN(2)/2)*AQ118*AT118*VLOOKUP('Données projet'!$B$10,Paramètres!$A$1:$I$89,3,0)*0.475*44/12</f>
        <v>3.7305297007142932E-12</v>
      </c>
      <c r="AX118" s="21">
        <f t="shared" si="60"/>
        <v>1.8090547060827593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3.5470293369144201E-14</v>
      </c>
      <c r="BF118" s="13">
        <f t="shared" si="91"/>
        <v>6.0119115841663204E-13</v>
      </c>
      <c r="BG118" s="20">
        <f t="shared" si="61"/>
        <v>1.1088520285268936E-12</v>
      </c>
      <c r="BH118" s="59">
        <f t="shared" si="62"/>
        <v>293.33333333333445</v>
      </c>
      <c r="BI118" s="59">
        <f ca="1">AVERAGE(OFFSET($BH$3,0,0,'Données projet'!$E$11+1,1))-AVERAGE(OFFSET($H$3,0,0,'Données projet'!$E$11+1,1))</f>
        <v>162.91481796710048</v>
      </c>
      <c r="BJ118" s="59">
        <f t="shared" si="92"/>
        <v>182.56192390367823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0.51662970907466299</v>
      </c>
      <c r="BQ118" s="21">
        <f>EXP(-LN(2)/25)*BQ117+(1-EXP(-LN(2)/25))/(LN(2)/25)*Calculateur!BL118*Calculateur!BN118*VLOOKUP('Données projet'!$B$11,Paramètres!$A$1:$I$89,3,0)*0.475*44/12</f>
        <v>1.4473764856569851</v>
      </c>
      <c r="BR118" s="21">
        <f>EXP(-LN(2)/2)*BR117+(1-EXP(-LN(2)/2))/(LN(2)/2)*BL118*BO118*VLOOKUP('Données projet'!$B$11,Paramètres!$A$1:$I$89,3,0)*0.475*44/12</f>
        <v>2.8891253394551165E-12</v>
      </c>
      <c r="BS118" s="22">
        <f t="shared" si="63"/>
        <v>1.9640061947345371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-5.3205440053716299E-14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123.60520571614535</v>
      </c>
      <c r="CE118" s="59">
        <f t="shared" si="94"/>
        <v>119.00926870519527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0.16110082669136272</v>
      </c>
      <c r="CL118" s="21">
        <f>EXP(-LN(2)/25)*CL117+(1-EXP(-LN(2)/25))/(LN(2)/25)*Calculateur!CG118*Calculateur!CI118*VLOOKUP('Données projet'!$B$12,Paramètres!$A$1:$I$89,3,0)*0.475*44/12</f>
        <v>0.45251322142884276</v>
      </c>
      <c r="CM118" s="21">
        <f>EXP(-LN(2)/2)*CM117+(1-EXP(-LN(2)/2))/(LN(2)/2)*CG118*CJ118*VLOOKUP('Données projet'!$B$12,Paramètres!$A$1:$I$89,3,0)*0.475*44/12</f>
        <v>9.8294689143035735E-13</v>
      </c>
      <c r="CN118" s="22">
        <f t="shared" si="66"/>
        <v>0.61361404812118847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2.8</v>
      </c>
      <c r="CT118" s="12">
        <f>IF('Données projet'!$A$140&gt;35,CT117+CS118-DB117,IF(A118&lt;'Données projet'!$A$140,$CQ$205^A118,IF(A118='Données projet'!$A$140,'Données projet'!$B$140,CT117+CS118-DB117)))</f>
        <v>219.99999999999997</v>
      </c>
      <c r="CU118" s="17">
        <f>CT118*VLOOKUP('Données projet'!$B$13,Paramètres!$A$1:$I$89,3,0)*VLOOKUP('Données projet'!$B$13,Paramètres!$A$1:$I$89,5,0)</f>
        <v>229.94399999999996</v>
      </c>
      <c r="CV118" s="13">
        <f t="shared" si="95"/>
        <v>56.270572850262418</v>
      </c>
      <c r="CW118" s="20">
        <f t="shared" si="67"/>
        <v>498.49038104754027</v>
      </c>
      <c r="CX118" s="59">
        <f t="shared" si="68"/>
        <v>791.82371438087353</v>
      </c>
      <c r="CY118" s="59">
        <f ca="1">AVERAGE(OFFSET($CX$3,0,0,'Données projet'!$E$13+1,1))-AVERAGE(OFFSET($H$3,0,0,'Données projet'!$E$13+1,1))</f>
        <v>177.94336949486529</v>
      </c>
      <c r="CZ118" s="59">
        <f t="shared" si="96"/>
        <v>65.559373432574603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3.3992364478763198E-14</v>
      </c>
      <c r="DQ118" s="13">
        <f t="shared" si="97"/>
        <v>5.790027782444094E-13</v>
      </c>
      <c r="DR118" s="20">
        <f t="shared" si="70"/>
        <v>1.0676332069095257E-12</v>
      </c>
      <c r="DS118" s="59">
        <f t="shared" si="71"/>
        <v>293.33333333333439</v>
      </c>
      <c r="DT118" s="59">
        <f ca="1">AVERAGE(OFFSET($DS$3,0,0,'Données projet'!$E$14+1,1))-AVERAGE(OFFSET($H$3,0,0,'Données projet'!$E$14+1,1))</f>
        <v>165.39579887388538</v>
      </c>
      <c r="DU118" s="59">
        <f t="shared" si="98"/>
        <v>155.89639262545802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0.69052685284071524</v>
      </c>
      <c r="EC118" s="21">
        <f>EXP(-LN(2)/2)*EC117+(1-EXP(-LN(2)/2))/(LN(2)/2)*DW118*DZ118*VLOOKUP('Données projet'!$B$14,Paramètres!$A$1:$I$89,3,0)*0.475*44/12</f>
        <v>2.2315969980801697E-12</v>
      </c>
      <c r="ED118" s="22">
        <f t="shared" si="72"/>
        <v>0.69052685284294679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-1.1368683772161603E-12</v>
      </c>
      <c r="EK118" s="17">
        <f>EJ118*VLOOKUP('Données projet'!$B$15,Paramètres!$A$1:$I$89,3,0)*VLOOKUP('Données projet'!$B$15,Paramètres!$A$1:$I$89,5,0)</f>
        <v>-5.4683368944097316E-13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252.30925789500111</v>
      </c>
      <c r="EP118" s="59">
        <f t="shared" si="100"/>
        <v>213.96033794804805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0.86047291946698989</v>
      </c>
      <c r="EW118" s="21">
        <f>EXP(-LN(2)/25)*EW117+(1-EXP(-LN(2)/25))/(LN(2)/25)*Calculateur!ER118*Calculateur!ET118*VLOOKUP('Données projet'!$B$15,Paramètres!$A$1:$I$89,3,0)*0.475*44/12</f>
        <v>0.8742279873221307</v>
      </c>
      <c r="EX118" s="21">
        <f>EXP(-LN(2)/2)*EX117+(1-EXP(-LN(2)/2))/(LN(2)/2)*ER118*EU118*VLOOKUP('Données projet'!$B$15,Paramètres!$A$1:$I$89,3,0)*0.475*44/12</f>
        <v>2.3115842499731822E-12</v>
      </c>
      <c r="EY118" s="22">
        <f t="shared" si="75"/>
        <v>1.7347009067914321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-1.1368683772161603E-12</v>
      </c>
      <c r="FF118" s="17">
        <f>FE118*VLOOKUP('Données projet'!$B$16,Paramètres!$A$1:$I$89,3,0)*VLOOKUP('Données projet'!$B$16,Paramètres!$A$1:$I$89,5,0)</f>
        <v>-5.4683368944097316E-13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252.30925789500111</v>
      </c>
      <c r="FK118" s="59">
        <f t="shared" si="102"/>
        <v>213.96033794804805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0.86047291946698989</v>
      </c>
      <c r="FR118" s="21">
        <f>EXP(-LN(2)/25)*FR117+(1-EXP(-LN(2)/25))/(LN(2)/25)*Calculateur!FM118*Calculateur!FO118*VLOOKUP('Données projet'!$B$16,Paramètres!$A$1:$I$89,3,0)*0.475*44/12</f>
        <v>0.8742279873221307</v>
      </c>
      <c r="FS118" s="21">
        <f>EXP(-LN(2)/2)*FS117+(1-EXP(-LN(2)/2))/(LN(2)/2)*FM118*FP118*VLOOKUP('Données projet'!$B$16,Paramètres!$A$1:$I$89,3,0)*0.475*44/12</f>
        <v>2.3115842499731822E-12</v>
      </c>
      <c r="FT118" s="22">
        <f t="shared" si="78"/>
        <v>1.7347009067914321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117.54638373164624</v>
      </c>
      <c r="GF118" s="59">
        <f t="shared" si="104"/>
        <v>133.0740262536583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0.41093290112433706</v>
      </c>
      <c r="GM118" s="21">
        <f>EXP(-LN(2)/25)*GM117+(1-EXP(-LN(2)/25))/(LN(2)/25)*Calculateur!GH118*Calculateur!GJ118*VLOOKUP('Données projet'!$B$17,Paramètres!$A$1:$I$89,3,0)*0.475*44/12</f>
        <v>0.81996374673254169</v>
      </c>
      <c r="GN118" s="21">
        <f>EXP(-LN(2)/2)*GN117+(1-EXP(-LN(2)/2))/(LN(2)/2)*GH118*GK118*VLOOKUP('Données projet'!$B$17,Paramètres!$A$1:$I$89,3,0)*0.475*44/12</f>
        <v>6.5042888114775671E-13</v>
      </c>
      <c r="GO118" s="21">
        <f t="shared" si="81"/>
        <v>1.2308966478575292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2.8421709430404007E-14</v>
      </c>
      <c r="GV118" s="17">
        <f>GU118*VLOOKUP('Données projet'!$B$18,Paramètres!$A$1:$I$89,3,0)*VLOOKUP('Données projet'!$B$18,Paramètres!$A$1:$I$89,5,0)</f>
        <v>1.3567387213697657E-14</v>
      </c>
      <c r="GW118" s="13">
        <f t="shared" si="105"/>
        <v>2.5717320947985821E-13</v>
      </c>
      <c r="GX118" s="20">
        <f t="shared" si="82"/>
        <v>4.7153987257460977E-13</v>
      </c>
      <c r="GY118" s="59">
        <f t="shared" si="83"/>
        <v>293.33333333333377</v>
      </c>
      <c r="GZ118" s="59">
        <f ca="1">AVERAGE(OFFSET($GY$3,0,0,'Données projet'!$E$18+1,1))-AVERAGE(OFFSET($H$3,0,0,'Données projet'!$E$18+1,1))</f>
        <v>43.147469606759159</v>
      </c>
      <c r="HA118" s="59">
        <f t="shared" si="106"/>
        <v>147.46995307968473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6.6985001866257656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8.8617237420846833E-14</v>
      </c>
      <c r="HJ118" s="22">
        <f t="shared" si="84"/>
        <v>6.6985001866258544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2.8</v>
      </c>
      <c r="N119" s="13">
        <f>IF('Données projet'!$A$36&gt;35,N118+M119-V118,IF(A119&lt;'Données projet'!$A$36,$K$205^A119,IF(A119='Données projet'!$A$36,'Données projet'!$B$36,N118+M119-V118)))</f>
        <v>222.79999999999998</v>
      </c>
      <c r="O119" s="13">
        <f>N119*VLOOKUP('Données projet'!$B$9,Paramètres!$A$1:$I$89,3,0)*VLOOKUP('Données projet'!$B$9,Paramètres!$A$1:$I$89,5,0)</f>
        <v>201.58944</v>
      </c>
      <c r="P119" s="13">
        <f t="shared" si="87"/>
        <v>50.093317439945402</v>
      </c>
      <c r="Q119" s="20">
        <f t="shared" si="107"/>
        <v>438.34746920790485</v>
      </c>
      <c r="R119" s="59">
        <f t="shared" si="55"/>
        <v>731.68080254123811</v>
      </c>
      <c r="S119" s="59">
        <f ca="1">AVERAGE(OFFSET($R$3,0,0,'Données projet'!$E$9+1,1))-AVERAGE(OFFSET($H$3,0,0,'Données projet'!$E$9+1,1))</f>
        <v>138.8931001150624</v>
      </c>
      <c r="T119" s="59">
        <f t="shared" si="88"/>
        <v>48.964659354096625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-7.4487616075202836E-14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191.94797389630673</v>
      </c>
      <c r="AO119" s="59">
        <f t="shared" si="90"/>
        <v>273.52540822767878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1.2944222906544554</v>
      </c>
      <c r="AW119" s="21">
        <f>EXP(-LN(2)/2)*AW118+(1-EXP(-LN(2)/2))/(LN(2)/2)*AQ119*AT119*VLOOKUP('Données projet'!$B$10,Paramètres!$A$1:$I$89,3,0)*0.475*44/12</f>
        <v>2.6378828487928984E-12</v>
      </c>
      <c r="AX119" s="21">
        <f t="shared" si="60"/>
        <v>1.763285522938407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3.5470293369144201E-14</v>
      </c>
      <c r="BF119" s="13">
        <f t="shared" si="91"/>
        <v>6.0119115841663204E-13</v>
      </c>
      <c r="BG119" s="20">
        <f t="shared" si="61"/>
        <v>1.1088520285268936E-12</v>
      </c>
      <c r="BH119" s="59">
        <f t="shared" si="62"/>
        <v>293.33333333333445</v>
      </c>
      <c r="BI119" s="59">
        <f ca="1">AVERAGE(OFFSET($BH$3,0,0,'Données projet'!$E$11+1,1))-AVERAGE(OFFSET($H$3,0,0,'Données projet'!$E$11+1,1))</f>
        <v>162.91481796710048</v>
      </c>
      <c r="BJ119" s="59">
        <f t="shared" si="92"/>
        <v>182.56192390367823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0.50649891559271654</v>
      </c>
      <c r="BQ119" s="21">
        <f>EXP(-LN(2)/25)*BQ118+(1-EXP(-LN(2)/25))/(LN(2)/25)*Calculateur!BL119*Calculateur!BN119*VLOOKUP('Données projet'!$B$11,Paramètres!$A$1:$I$89,3,0)*0.475*44/12</f>
        <v>1.4077978995424734</v>
      </c>
      <c r="BR119" s="21">
        <f>EXP(-LN(2)/2)*BR118+(1-EXP(-LN(2)/2))/(LN(2)/2)*BL119*BO119*VLOOKUP('Données projet'!$B$11,Paramètres!$A$1:$I$89,3,0)*0.475*44/12</f>
        <v>2.0429201192265988E-12</v>
      </c>
      <c r="BS119" s="22">
        <f t="shared" si="63"/>
        <v>1.9142968151372326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-5.3205440053716299E-14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123.60520571614535</v>
      </c>
      <c r="CE119" s="59">
        <f t="shared" si="94"/>
        <v>119.00926870519527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0.15794173774174683</v>
      </c>
      <c r="CL119" s="21">
        <f>EXP(-LN(2)/25)*CL118+(1-EXP(-LN(2)/25))/(LN(2)/25)*Calculateur!CG119*Calculateur!CI119*VLOOKUP('Données projet'!$B$12,Paramètres!$A$1:$I$89,3,0)*0.475*44/12</f>
        <v>0.44013922359223495</v>
      </c>
      <c r="CM119" s="21">
        <f>EXP(-LN(2)/2)*CM118+(1-EXP(-LN(2)/2))/(LN(2)/2)*CG119*CJ119*VLOOKUP('Données projet'!$B$12,Paramètres!$A$1:$I$89,3,0)*0.475*44/12</f>
        <v>6.9504841247664279E-13</v>
      </c>
      <c r="CN119" s="22">
        <f t="shared" si="66"/>
        <v>0.59808096133467681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2.8</v>
      </c>
      <c r="CT119" s="12">
        <f>IF('Données projet'!$A$140&gt;35,CT118+CS119-DB118,IF(A119&lt;'Données projet'!$A$140,$CQ$205^A119,IF(A119='Données projet'!$A$140,'Données projet'!$B$140,CT118+CS119-DB118)))</f>
        <v>222.79999999999998</v>
      </c>
      <c r="CU119" s="17">
        <f>CT119*VLOOKUP('Données projet'!$B$13,Paramètres!$A$1:$I$89,3,0)*VLOOKUP('Données projet'!$B$13,Paramètres!$A$1:$I$89,5,0)</f>
        <v>232.87056000000001</v>
      </c>
      <c r="CV119" s="13">
        <f t="shared" si="95"/>
        <v>56.902914948138985</v>
      </c>
      <c r="CW119" s="20">
        <f t="shared" si="67"/>
        <v>504.68880220134207</v>
      </c>
      <c r="CX119" s="59">
        <f t="shared" si="68"/>
        <v>798.02213553467539</v>
      </c>
      <c r="CY119" s="59">
        <f ca="1">AVERAGE(OFFSET($CX$3,0,0,'Données projet'!$E$13+1,1))-AVERAGE(OFFSET($H$3,0,0,'Données projet'!$E$13+1,1))</f>
        <v>177.94336949486529</v>
      </c>
      <c r="CZ119" s="59">
        <f t="shared" si="96"/>
        <v>65.559373432574603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3.3992364478763198E-14</v>
      </c>
      <c r="DQ119" s="13">
        <f t="shared" si="97"/>
        <v>5.790027782444094E-13</v>
      </c>
      <c r="DR119" s="20">
        <f t="shared" si="70"/>
        <v>1.0676332069095257E-12</v>
      </c>
      <c r="DS119" s="59">
        <f t="shared" si="71"/>
        <v>293.33333333333439</v>
      </c>
      <c r="DT119" s="59">
        <f ca="1">AVERAGE(OFFSET($DS$3,0,0,'Données projet'!$E$14+1,1))-AVERAGE(OFFSET($H$3,0,0,'Données projet'!$E$14+1,1))</f>
        <v>165.39579887388538</v>
      </c>
      <c r="DU119" s="59">
        <f t="shared" si="98"/>
        <v>155.89639262545802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0.6716443597365569</v>
      </c>
      <c r="EC119" s="21">
        <f>EXP(-LN(2)/2)*EC118+(1-EXP(-LN(2)/2))/(LN(2)/2)*DW119*DZ119*VLOOKUP('Données projet'!$B$14,Paramètres!$A$1:$I$89,3,0)*0.475*44/12</f>
        <v>1.5779773702180309E-12</v>
      </c>
      <c r="ED119" s="22">
        <f t="shared" si="72"/>
        <v>0.67164435973813486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-1.1368683772161603E-12</v>
      </c>
      <c r="EK119" s="17">
        <f>EJ119*VLOOKUP('Données projet'!$B$15,Paramètres!$A$1:$I$89,3,0)*VLOOKUP('Données projet'!$B$15,Paramètres!$A$1:$I$89,5,0)</f>
        <v>-5.4683368944097316E-13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252.30925789500111</v>
      </c>
      <c r="EP119" s="59">
        <f t="shared" si="100"/>
        <v>213.96033794804805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0.84359957035289979</v>
      </c>
      <c r="EW119" s="21">
        <f>EXP(-LN(2)/25)*EW118+(1-EXP(-LN(2)/25))/(LN(2)/25)*Calculateur!ER119*Calculateur!ET119*VLOOKUP('Données projet'!$B$15,Paramètres!$A$1:$I$89,3,0)*0.475*44/12</f>
        <v>0.85032217703515522</v>
      </c>
      <c r="EX119" s="21">
        <f>EXP(-LN(2)/2)*EX118+(1-EXP(-LN(2)/2))/(LN(2)/2)*ER119*EU119*VLOOKUP('Données projet'!$B$15,Paramètres!$A$1:$I$89,3,0)*0.475*44/12</f>
        <v>1.6345368984400566E-12</v>
      </c>
      <c r="EY119" s="22">
        <f t="shared" si="75"/>
        <v>1.6939217473896895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-1.1368683772161603E-12</v>
      </c>
      <c r="FF119" s="17">
        <f>FE119*VLOOKUP('Données projet'!$B$16,Paramètres!$A$1:$I$89,3,0)*VLOOKUP('Données projet'!$B$16,Paramètres!$A$1:$I$89,5,0)</f>
        <v>-5.4683368944097316E-13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252.30925789500111</v>
      </c>
      <c r="FK119" s="59">
        <f t="shared" si="102"/>
        <v>213.96033794804805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0.84359957035289979</v>
      </c>
      <c r="FR119" s="21">
        <f>EXP(-LN(2)/25)*FR118+(1-EXP(-LN(2)/25))/(LN(2)/25)*Calculateur!FM119*Calculateur!FO119*VLOOKUP('Données projet'!$B$16,Paramètres!$A$1:$I$89,3,0)*0.475*44/12</f>
        <v>0.85032217703515522</v>
      </c>
      <c r="FS119" s="21">
        <f>EXP(-LN(2)/2)*FS118+(1-EXP(-LN(2)/2))/(LN(2)/2)*FM119*FP119*VLOOKUP('Données projet'!$B$16,Paramètres!$A$1:$I$89,3,0)*0.475*44/12</f>
        <v>1.6345368984400566E-12</v>
      </c>
      <c r="FT119" s="22">
        <f t="shared" si="78"/>
        <v>1.6939217473896895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117.54638373164624</v>
      </c>
      <c r="GF119" s="59">
        <f t="shared" si="104"/>
        <v>133.0740262536583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0.40287475757760943</v>
      </c>
      <c r="GM119" s="21">
        <f>EXP(-LN(2)/25)*GM118+(1-EXP(-LN(2)/25))/(LN(2)/25)*Calculateur!GH119*Calculateur!GJ119*VLOOKUP('Données projet'!$B$17,Paramètres!$A$1:$I$89,3,0)*0.475*44/12</f>
        <v>0.79754179495812094</v>
      </c>
      <c r="GN119" s="21">
        <f>EXP(-LN(2)/2)*GN118+(1-EXP(-LN(2)/2))/(LN(2)/2)*GH119*GK119*VLOOKUP('Données projet'!$B$17,Paramètres!$A$1:$I$89,3,0)*0.475*44/12</f>
        <v>4.5992267253915772E-13</v>
      </c>
      <c r="GO119" s="21">
        <f t="shared" si="81"/>
        <v>1.2004165525361903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2.8421709430404007E-14</v>
      </c>
      <c r="GV119" s="17">
        <f>GU119*VLOOKUP('Données projet'!$B$18,Paramètres!$A$1:$I$89,3,0)*VLOOKUP('Données projet'!$B$18,Paramètres!$A$1:$I$89,5,0)</f>
        <v>1.3567387213697657E-14</v>
      </c>
      <c r="GW119" s="13">
        <f t="shared" si="105"/>
        <v>2.5717320947985821E-13</v>
      </c>
      <c r="GX119" s="20">
        <f t="shared" si="82"/>
        <v>4.7153987257460977E-13</v>
      </c>
      <c r="GY119" s="59">
        <f t="shared" si="83"/>
        <v>293.33333333333377</v>
      </c>
      <c r="GZ119" s="59">
        <f ca="1">AVERAGE(OFFSET($GY$3,0,0,'Données projet'!$E$18+1,1))-AVERAGE(OFFSET($H$3,0,0,'Données projet'!$E$18+1,1))</f>
        <v>43.147469606759159</v>
      </c>
      <c r="HA119" s="59">
        <f t="shared" si="106"/>
        <v>147.46995307968473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6.5671466836477208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6.2661849510299071E-14</v>
      </c>
      <c r="HJ119" s="22">
        <f t="shared" si="84"/>
        <v>6.5671466836477839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2.8</v>
      </c>
      <c r="N120" s="13">
        <f>IF('Données projet'!$A$36&gt;35,N119+M120-V119,IF(A120&lt;'Données projet'!$A$36,$K$205^A120,IF(A120='Données projet'!$A$36,'Données projet'!$B$36,N119+M120-V119)))</f>
        <v>225.6</v>
      </c>
      <c r="O120" s="13">
        <f>N120*VLOOKUP('Données projet'!$B$9,Paramètres!$A$1:$I$89,3,0)*VLOOKUP('Données projet'!$B$9,Paramètres!$A$1:$I$89,5,0)</f>
        <v>204.12287999999998</v>
      </c>
      <c r="P120" s="13">
        <f t="shared" si="87"/>
        <v>50.649173129865886</v>
      </c>
      <c r="Q120" s="20">
        <f t="shared" si="107"/>
        <v>443.72799253451632</v>
      </c>
      <c r="R120" s="59">
        <f t="shared" si="55"/>
        <v>737.06132586784963</v>
      </c>
      <c r="S120" s="59">
        <f ca="1">AVERAGE(OFFSET($R$3,0,0,'Données projet'!$E$9+1,1))-AVERAGE(OFFSET($H$3,0,0,'Données projet'!$E$9+1,1))</f>
        <v>138.8931001150624</v>
      </c>
      <c r="T120" s="59">
        <f t="shared" si="88"/>
        <v>48.964659354096625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-7.4487616075202836E-14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191.94797389630673</v>
      </c>
      <c r="AO120" s="59">
        <f t="shared" si="90"/>
        <v>273.52540822767878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1.2590262450457994</v>
      </c>
      <c r="AW120" s="21">
        <f>EXP(-LN(2)/2)*AW119+(1-EXP(-LN(2)/2))/(LN(2)/2)*AQ120*AT120*VLOOKUP('Données projet'!$B$10,Paramètres!$A$1:$I$89,3,0)*0.475*44/12</f>
        <v>1.8652648503571466E-12</v>
      </c>
      <c r="AX120" s="21">
        <f t="shared" si="60"/>
        <v>1.7186953553222755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3.5470293369144201E-14</v>
      </c>
      <c r="BF120" s="13">
        <f t="shared" si="91"/>
        <v>6.0119115841663204E-13</v>
      </c>
      <c r="BG120" s="20">
        <f t="shared" si="61"/>
        <v>1.1088520285268936E-12</v>
      </c>
      <c r="BH120" s="59">
        <f t="shared" si="62"/>
        <v>293.33333333333445</v>
      </c>
      <c r="BI120" s="59">
        <f ca="1">AVERAGE(OFFSET($BH$3,0,0,'Données projet'!$E$11+1,1))-AVERAGE(OFFSET($H$3,0,0,'Données projet'!$E$11+1,1))</f>
        <v>162.91481796710048</v>
      </c>
      <c r="BJ120" s="59">
        <f t="shared" si="92"/>
        <v>182.56192390367823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0.49656678079177718</v>
      </c>
      <c r="BQ120" s="21">
        <f>EXP(-LN(2)/25)*BQ119+(1-EXP(-LN(2)/25))/(LN(2)/25)*Calculateur!BL120*Calculateur!BN120*VLOOKUP('Données projet'!$B$11,Paramètres!$A$1:$I$89,3,0)*0.475*44/12</f>
        <v>1.3693015919466105</v>
      </c>
      <c r="BR120" s="21">
        <f>EXP(-LN(2)/2)*BR119+(1-EXP(-LN(2)/2))/(LN(2)/2)*BL120*BO120*VLOOKUP('Données projet'!$B$11,Paramètres!$A$1:$I$89,3,0)*0.475*44/12</f>
        <v>1.4445626697275582E-12</v>
      </c>
      <c r="BS120" s="22">
        <f t="shared" si="63"/>
        <v>1.8658683727398322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-5.3205440053716299E-14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123.60520571614535</v>
      </c>
      <c r="CE120" s="59">
        <f t="shared" si="94"/>
        <v>119.00926870519527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0.15484459659957892</v>
      </c>
      <c r="CL120" s="21">
        <f>EXP(-LN(2)/25)*CL119+(1-EXP(-LN(2)/25))/(LN(2)/25)*Calculateur!CG120*Calculateur!CI120*VLOOKUP('Données projet'!$B$12,Paramètres!$A$1:$I$89,3,0)*0.475*44/12</f>
        <v>0.42810359337718945</v>
      </c>
      <c r="CM120" s="21">
        <f>EXP(-LN(2)/2)*CM119+(1-EXP(-LN(2)/2))/(LN(2)/2)*CG120*CJ120*VLOOKUP('Données projet'!$B$12,Paramètres!$A$1:$I$89,3,0)*0.475*44/12</f>
        <v>4.9147344571517868E-13</v>
      </c>
      <c r="CN120" s="22">
        <f t="shared" si="66"/>
        <v>0.58294818997725983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2.8</v>
      </c>
      <c r="CT120" s="12">
        <f>IF('Données projet'!$A$140&gt;35,CT119+CS120-DB119,IF(A120&lt;'Données projet'!$A$140,$CQ$205^A120,IF(A120='Données projet'!$A$140,'Données projet'!$B$140,CT119+CS120-DB119)))</f>
        <v>225.6</v>
      </c>
      <c r="CU120" s="17">
        <f>CT120*VLOOKUP('Données projet'!$B$13,Paramètres!$A$1:$I$89,3,0)*VLOOKUP('Données projet'!$B$13,Paramètres!$A$1:$I$89,5,0)</f>
        <v>235.79712000000004</v>
      </c>
      <c r="CV120" s="13">
        <f t="shared" si="95"/>
        <v>57.53433268334701</v>
      </c>
      <c r="CW120" s="20">
        <f t="shared" si="67"/>
        <v>510.88561342349607</v>
      </c>
      <c r="CX120" s="59">
        <f t="shared" si="68"/>
        <v>804.21894675682938</v>
      </c>
      <c r="CY120" s="59">
        <f ca="1">AVERAGE(OFFSET($CX$3,0,0,'Données projet'!$E$13+1,1))-AVERAGE(OFFSET($H$3,0,0,'Données projet'!$E$13+1,1))</f>
        <v>177.94336949486529</v>
      </c>
      <c r="CZ120" s="59">
        <f t="shared" si="96"/>
        <v>65.559373432574603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3.3992364478763198E-14</v>
      </c>
      <c r="DQ120" s="13">
        <f t="shared" si="97"/>
        <v>5.790027782444094E-13</v>
      </c>
      <c r="DR120" s="20">
        <f t="shared" si="70"/>
        <v>1.0676332069095257E-12</v>
      </c>
      <c r="DS120" s="59">
        <f t="shared" si="71"/>
        <v>293.33333333333439</v>
      </c>
      <c r="DT120" s="59">
        <f ca="1">AVERAGE(OFFSET($DS$3,0,0,'Données projet'!$E$14+1,1))-AVERAGE(OFFSET($H$3,0,0,'Données projet'!$E$14+1,1))</f>
        <v>165.39579887388538</v>
      </c>
      <c r="DU120" s="59">
        <f t="shared" si="98"/>
        <v>155.89639262545802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0.65327820939931891</v>
      </c>
      <c r="EC120" s="21">
        <f>EXP(-LN(2)/2)*EC119+(1-EXP(-LN(2)/2))/(LN(2)/2)*DW120*DZ120*VLOOKUP('Données projet'!$B$14,Paramètres!$A$1:$I$89,3,0)*0.475*44/12</f>
        <v>1.1157984990400849E-12</v>
      </c>
      <c r="ED120" s="22">
        <f t="shared" si="72"/>
        <v>0.65327820940043468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-1.1368683772161603E-12</v>
      </c>
      <c r="EK120" s="17">
        <f>EJ120*VLOOKUP('Données projet'!$B$15,Paramètres!$A$1:$I$89,3,0)*VLOOKUP('Données projet'!$B$15,Paramètres!$A$1:$I$89,5,0)</f>
        <v>-5.4683368944097316E-13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252.30925789500111</v>
      </c>
      <c r="EP120" s="59">
        <f t="shared" si="100"/>
        <v>213.96033794804805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0.8270570973232102</v>
      </c>
      <c r="EW120" s="21">
        <f>EXP(-LN(2)/25)*EW119+(1-EXP(-LN(2)/25))/(LN(2)/25)*Calculateur!ER120*Calculateur!ET120*VLOOKUP('Données projet'!$B$15,Paramètres!$A$1:$I$89,3,0)*0.475*44/12</f>
        <v>0.82707007238762908</v>
      </c>
      <c r="EX120" s="21">
        <f>EXP(-LN(2)/2)*EX119+(1-EXP(-LN(2)/2))/(LN(2)/2)*ER120*EU120*VLOOKUP('Données projet'!$B$15,Paramètres!$A$1:$I$89,3,0)*0.475*44/12</f>
        <v>1.1557921249865911E-12</v>
      </c>
      <c r="EY120" s="22">
        <f t="shared" si="75"/>
        <v>1.654127169711995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-1.1368683772161603E-12</v>
      </c>
      <c r="FF120" s="17">
        <f>FE120*VLOOKUP('Données projet'!$B$16,Paramètres!$A$1:$I$89,3,0)*VLOOKUP('Données projet'!$B$16,Paramètres!$A$1:$I$89,5,0)</f>
        <v>-5.4683368944097316E-13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252.30925789500111</v>
      </c>
      <c r="FK120" s="59">
        <f t="shared" si="102"/>
        <v>213.96033794804805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0.8270570973232102</v>
      </c>
      <c r="FR120" s="21">
        <f>EXP(-LN(2)/25)*FR119+(1-EXP(-LN(2)/25))/(LN(2)/25)*Calculateur!FM120*Calculateur!FO120*VLOOKUP('Données projet'!$B$16,Paramètres!$A$1:$I$89,3,0)*0.475*44/12</f>
        <v>0.82707007238762908</v>
      </c>
      <c r="FS120" s="21">
        <f>EXP(-LN(2)/2)*FS119+(1-EXP(-LN(2)/2))/(LN(2)/2)*FM120*FP120*VLOOKUP('Données projet'!$B$16,Paramètres!$A$1:$I$89,3,0)*0.475*44/12</f>
        <v>1.1557921249865911E-12</v>
      </c>
      <c r="FT120" s="22">
        <f t="shared" si="78"/>
        <v>1.654127169711995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117.54638373164624</v>
      </c>
      <c r="GF120" s="59">
        <f t="shared" si="104"/>
        <v>133.0740262536583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0.39497462931085087</v>
      </c>
      <c r="GM120" s="21">
        <f>EXP(-LN(2)/25)*GM119+(1-EXP(-LN(2)/25))/(LN(2)/25)*Calculateur!GH120*Calculateur!GJ120*VLOOKUP('Données projet'!$B$17,Paramètres!$A$1:$I$89,3,0)*0.475*44/12</f>
        <v>0.77573297263409091</v>
      </c>
      <c r="GN120" s="21">
        <f>EXP(-LN(2)/2)*GN119+(1-EXP(-LN(2)/2))/(LN(2)/2)*GH120*GK120*VLOOKUP('Données projet'!$B$17,Paramètres!$A$1:$I$89,3,0)*0.475*44/12</f>
        <v>3.2521444057387835E-13</v>
      </c>
      <c r="GO120" s="21">
        <f t="shared" si="81"/>
        <v>1.1707076019452671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2.8421709430404007E-14</v>
      </c>
      <c r="GV120" s="17">
        <f>GU120*VLOOKUP('Données projet'!$B$18,Paramètres!$A$1:$I$89,3,0)*VLOOKUP('Données projet'!$B$18,Paramètres!$A$1:$I$89,5,0)</f>
        <v>1.3567387213697657E-14</v>
      </c>
      <c r="GW120" s="13">
        <f t="shared" si="105"/>
        <v>2.5717320947985821E-13</v>
      </c>
      <c r="GX120" s="20">
        <f t="shared" si="82"/>
        <v>4.7153987257460977E-13</v>
      </c>
      <c r="GY120" s="59">
        <f t="shared" si="83"/>
        <v>293.33333333333377</v>
      </c>
      <c r="GZ120" s="59">
        <f ca="1">AVERAGE(OFFSET($GY$3,0,0,'Données projet'!$E$18+1,1))-AVERAGE(OFFSET($H$3,0,0,'Données projet'!$E$18+1,1))</f>
        <v>43.147469606759159</v>
      </c>
      <c r="HA120" s="59">
        <f t="shared" si="106"/>
        <v>147.46995307968473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6.4383689427453499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4.4308618710423417E-14</v>
      </c>
      <c r="HJ120" s="22">
        <f t="shared" si="84"/>
        <v>6.4383689427453943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2.8</v>
      </c>
      <c r="N121" s="13">
        <f>IF('Données projet'!$A$36&gt;35,N120+M121-V120,IF(A121&lt;'Données projet'!$A$36,$K$205^A121,IF(A121='Données projet'!$A$36,'Données projet'!$B$36,N120+M121-V120)))</f>
        <v>228.4</v>
      </c>
      <c r="O121" s="13">
        <f>N121*VLOOKUP('Données projet'!$B$9,Paramètres!$A$1:$I$89,3,0)*VLOOKUP('Données projet'!$B$9,Paramètres!$A$1:$I$89,5,0)</f>
        <v>206.65631999999997</v>
      </c>
      <c r="P121" s="13">
        <f t="shared" si="87"/>
        <v>51.20422634371338</v>
      </c>
      <c r="Q121" s="20">
        <f t="shared" si="107"/>
        <v>449.10711821530072</v>
      </c>
      <c r="R121" s="59">
        <f t="shared" si="55"/>
        <v>742.44045154863397</v>
      </c>
      <c r="S121" s="59">
        <f ca="1">AVERAGE(OFFSET($R$3,0,0,'Données projet'!$E$9+1,1))-AVERAGE(OFFSET($H$3,0,0,'Données projet'!$E$9+1,1))</f>
        <v>138.8931001150624</v>
      </c>
      <c r="T121" s="59">
        <f t="shared" si="88"/>
        <v>48.964659354096625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-7.4487616075202836E-14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191.94797389630673</v>
      </c>
      <c r="AO121" s="59">
        <f t="shared" si="90"/>
        <v>273.52540822767878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1.2245981061657094</v>
      </c>
      <c r="AW121" s="21">
        <f>EXP(-LN(2)/2)*AW120+(1-EXP(-LN(2)/2))/(LN(2)/2)*AQ121*AT121*VLOOKUP('Données projet'!$B$10,Paramètres!$A$1:$I$89,3,0)*0.475*44/12</f>
        <v>1.3189414243964492E-12</v>
      </c>
      <c r="AX121" s="21">
        <f t="shared" si="60"/>
        <v>1.675253385559627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3.5470293369144201E-14</v>
      </c>
      <c r="BF121" s="13">
        <f t="shared" si="91"/>
        <v>6.0119115841663204E-13</v>
      </c>
      <c r="BG121" s="20">
        <f t="shared" si="61"/>
        <v>1.1088520285268936E-12</v>
      </c>
      <c r="BH121" s="59">
        <f t="shared" si="62"/>
        <v>293.33333333333445</v>
      </c>
      <c r="BI121" s="59">
        <f ca="1">AVERAGE(OFFSET($BH$3,0,0,'Données projet'!$E$11+1,1))-AVERAGE(OFFSET($H$3,0,0,'Données projet'!$E$11+1,1))</f>
        <v>162.91481796710048</v>
      </c>
      <c r="BJ121" s="59">
        <f t="shared" si="92"/>
        <v>182.56192390367823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0.4868294090962802</v>
      </c>
      <c r="BQ121" s="21">
        <f>EXP(-LN(2)/25)*BQ120+(1-EXP(-LN(2)/25))/(LN(2)/25)*Calculateur!BL121*Calculateur!BN121*VLOOKUP('Données projet'!$B$11,Paramètres!$A$1:$I$89,3,0)*0.475*44/12</f>
        <v>1.3318579679063893</v>
      </c>
      <c r="BR121" s="21">
        <f>EXP(-LN(2)/2)*BR120+(1-EXP(-LN(2)/2))/(LN(2)/2)*BL121*BO121*VLOOKUP('Données projet'!$B$11,Paramètres!$A$1:$I$89,3,0)*0.475*44/12</f>
        <v>1.0214600596132994E-12</v>
      </c>
      <c r="BS121" s="22">
        <f t="shared" si="63"/>
        <v>1.8186873770036909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-5.3205440053716299E-14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123.60520571614535</v>
      </c>
      <c r="CE121" s="59">
        <f t="shared" si="94"/>
        <v>119.00926870519527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0.15180818850613934</v>
      </c>
      <c r="CL121" s="21">
        <f>EXP(-LN(2)/25)*CL120+(1-EXP(-LN(2)/25))/(LN(2)/25)*Calculateur!CG121*Calculateur!CI121*VLOOKUP('Données projet'!$B$12,Paramètres!$A$1:$I$89,3,0)*0.475*44/12</f>
        <v>0.41639707810330068</v>
      </c>
      <c r="CM121" s="21">
        <f>EXP(-LN(2)/2)*CM120+(1-EXP(-LN(2)/2))/(LN(2)/2)*CG121*CJ121*VLOOKUP('Données projet'!$B$12,Paramètres!$A$1:$I$89,3,0)*0.475*44/12</f>
        <v>3.475242062383214E-13</v>
      </c>
      <c r="CN121" s="22">
        <f t="shared" si="66"/>
        <v>0.56820526660978754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2.8</v>
      </c>
      <c r="CT121" s="12">
        <f>IF('Données projet'!$A$140&gt;35,CT120+CS121-DB120,IF(A121&lt;'Données projet'!$A$140,$CQ$205^A121,IF(A121='Données projet'!$A$140,'Données projet'!$B$140,CT120+CS121-DB120)))</f>
        <v>228.4</v>
      </c>
      <c r="CU121" s="17">
        <f>CT121*VLOOKUP('Données projet'!$B$13,Paramètres!$A$1:$I$89,3,0)*VLOOKUP('Données projet'!$B$13,Paramètres!$A$1:$I$89,5,0)</f>
        <v>238.72368000000003</v>
      </c>
      <c r="CV121" s="13">
        <f t="shared" si="95"/>
        <v>58.164838855295393</v>
      </c>
      <c r="CW121" s="20">
        <f t="shared" si="67"/>
        <v>517.0808370063063</v>
      </c>
      <c r="CX121" s="59">
        <f t="shared" si="68"/>
        <v>810.41417033963967</v>
      </c>
      <c r="CY121" s="59">
        <f ca="1">AVERAGE(OFFSET($CX$3,0,0,'Données projet'!$E$13+1,1))-AVERAGE(OFFSET($H$3,0,0,'Données projet'!$E$13+1,1))</f>
        <v>177.94336949486529</v>
      </c>
      <c r="CZ121" s="59">
        <f t="shared" si="96"/>
        <v>65.559373432574603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3.3992364478763198E-14</v>
      </c>
      <c r="DQ121" s="13">
        <f t="shared" si="97"/>
        <v>5.790027782444094E-13</v>
      </c>
      <c r="DR121" s="20">
        <f t="shared" si="70"/>
        <v>1.0676332069095257E-12</v>
      </c>
      <c r="DS121" s="59">
        <f t="shared" si="71"/>
        <v>293.33333333333439</v>
      </c>
      <c r="DT121" s="59">
        <f ca="1">AVERAGE(OFFSET($DS$3,0,0,'Données projet'!$E$14+1,1))-AVERAGE(OFFSET($H$3,0,0,'Données projet'!$E$14+1,1))</f>
        <v>165.39579887388538</v>
      </c>
      <c r="DU121" s="59">
        <f t="shared" si="98"/>
        <v>155.89639262545802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0.63541428240888664</v>
      </c>
      <c r="EC121" s="21">
        <f>EXP(-LN(2)/2)*EC120+(1-EXP(-LN(2)/2))/(LN(2)/2)*DW121*DZ121*VLOOKUP('Données projet'!$B$14,Paramètres!$A$1:$I$89,3,0)*0.475*44/12</f>
        <v>7.8898868510901546E-13</v>
      </c>
      <c r="ED121" s="22">
        <f t="shared" si="72"/>
        <v>0.63541428240967568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-1.1368683772161603E-12</v>
      </c>
      <c r="EK121" s="17">
        <f>EJ121*VLOOKUP('Données projet'!$B$15,Paramètres!$A$1:$I$89,3,0)*VLOOKUP('Données projet'!$B$15,Paramètres!$A$1:$I$89,5,0)</f>
        <v>-5.4683368944097316E-13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252.30925789500111</v>
      </c>
      <c r="EP121" s="59">
        <f t="shared" si="100"/>
        <v>213.96033794804805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0.81083901209972065</v>
      </c>
      <c r="EW121" s="21">
        <f>EXP(-LN(2)/25)*EW120+(1-EXP(-LN(2)/25))/(LN(2)/25)*Calculateur!ER121*Calculateur!ET121*VLOOKUP('Données projet'!$B$15,Paramètres!$A$1:$I$89,3,0)*0.475*44/12</f>
        <v>0.80445379776446457</v>
      </c>
      <c r="EX121" s="21">
        <f>EXP(-LN(2)/2)*EX120+(1-EXP(-LN(2)/2))/(LN(2)/2)*ER121*EU121*VLOOKUP('Données projet'!$B$15,Paramètres!$A$1:$I$89,3,0)*0.475*44/12</f>
        <v>8.1726844922002828E-13</v>
      </c>
      <c r="EY121" s="22">
        <f t="shared" si="75"/>
        <v>1.6152928098650026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-1.1368683772161603E-12</v>
      </c>
      <c r="FF121" s="17">
        <f>FE121*VLOOKUP('Données projet'!$B$16,Paramètres!$A$1:$I$89,3,0)*VLOOKUP('Données projet'!$B$16,Paramètres!$A$1:$I$89,5,0)</f>
        <v>-5.4683368944097316E-13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252.30925789500111</v>
      </c>
      <c r="FK121" s="59">
        <f t="shared" si="102"/>
        <v>213.96033794804805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0.81083901209972065</v>
      </c>
      <c r="FR121" s="21">
        <f>EXP(-LN(2)/25)*FR120+(1-EXP(-LN(2)/25))/(LN(2)/25)*Calculateur!FM121*Calculateur!FO121*VLOOKUP('Données projet'!$B$16,Paramètres!$A$1:$I$89,3,0)*0.475*44/12</f>
        <v>0.80445379776446457</v>
      </c>
      <c r="FS121" s="21">
        <f>EXP(-LN(2)/2)*FS120+(1-EXP(-LN(2)/2))/(LN(2)/2)*FM121*FP121*VLOOKUP('Données projet'!$B$16,Paramètres!$A$1:$I$89,3,0)*0.475*44/12</f>
        <v>8.1726844922002828E-13</v>
      </c>
      <c r="FT121" s="22">
        <f t="shared" si="78"/>
        <v>1.6152928098650026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117.54638373164624</v>
      </c>
      <c r="GF121" s="59">
        <f t="shared" si="104"/>
        <v>133.0740262536583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0.387229417740801</v>
      </c>
      <c r="GM121" s="21">
        <f>EXP(-LN(2)/25)*GM120+(1-EXP(-LN(2)/25))/(LN(2)/25)*Calculateur!GH121*Calculateur!GJ121*VLOOKUP('Données projet'!$B$17,Paramètres!$A$1:$I$89,3,0)*0.475*44/12</f>
        <v>0.75452051370338757</v>
      </c>
      <c r="GN121" s="21">
        <f>EXP(-LN(2)/2)*GN120+(1-EXP(-LN(2)/2))/(LN(2)/2)*GH121*GK121*VLOOKUP('Données projet'!$B$17,Paramètres!$A$1:$I$89,3,0)*0.475*44/12</f>
        <v>2.2996133626957886E-13</v>
      </c>
      <c r="GO121" s="21">
        <f t="shared" si="81"/>
        <v>1.1417499314444186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2.8421709430404007E-14</v>
      </c>
      <c r="GV121" s="17">
        <f>GU121*VLOOKUP('Données projet'!$B$18,Paramètres!$A$1:$I$89,3,0)*VLOOKUP('Données projet'!$B$18,Paramètres!$A$1:$I$89,5,0)</f>
        <v>1.3567387213697657E-14</v>
      </c>
      <c r="GW121" s="13">
        <f t="shared" si="105"/>
        <v>2.5717320947985821E-13</v>
      </c>
      <c r="GX121" s="20">
        <f t="shared" si="82"/>
        <v>4.7153987257460977E-13</v>
      </c>
      <c r="GY121" s="59">
        <f t="shared" si="83"/>
        <v>293.33333333333377</v>
      </c>
      <c r="GZ121" s="59">
        <f ca="1">AVERAGE(OFFSET($GY$3,0,0,'Données projet'!$E$18+1,1))-AVERAGE(OFFSET($H$3,0,0,'Données projet'!$E$18+1,1))</f>
        <v>43.147469606759159</v>
      </c>
      <c r="HA121" s="59">
        <f t="shared" si="106"/>
        <v>147.46995307968473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6.3121164547954081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3.1330924755149536E-14</v>
      </c>
      <c r="HJ121" s="22">
        <f t="shared" si="84"/>
        <v>6.3121164547954391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2.8</v>
      </c>
      <c r="N122" s="13">
        <f>IF('Données projet'!$A$36&gt;35,N121+M122-V121,IF(A122&lt;'Données projet'!$A$36,$K$205^A122,IF(A122='Données projet'!$A$36,'Données projet'!$B$36,N121+M122-V121)))</f>
        <v>231.20000000000002</v>
      </c>
      <c r="O122" s="13">
        <f>N122*VLOOKUP('Données projet'!$B$9,Paramètres!$A$1:$I$89,3,0)*VLOOKUP('Données projet'!$B$9,Paramètres!$A$1:$I$89,5,0)</f>
        <v>209.18976000000001</v>
      </c>
      <c r="P122" s="13">
        <f t="shared" si="87"/>
        <v>51.758488057028018</v>
      </c>
      <c r="Q122" s="20">
        <f t="shared" si="107"/>
        <v>454.4848653659904</v>
      </c>
      <c r="R122" s="59">
        <f t="shared" si="55"/>
        <v>747.81819869932372</v>
      </c>
      <c r="S122" s="59">
        <f ca="1">AVERAGE(OFFSET($R$3,0,0,'Données projet'!$E$9+1,1))-AVERAGE(OFFSET($H$3,0,0,'Données projet'!$E$9+1,1))</f>
        <v>138.8931001150624</v>
      </c>
      <c r="T122" s="59">
        <f t="shared" si="88"/>
        <v>48.964659354096625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-7.4487616075202836E-14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191.94797389630673</v>
      </c>
      <c r="AO122" s="59">
        <f t="shared" si="90"/>
        <v>273.52540822767878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1.1911114065537924</v>
      </c>
      <c r="AW122" s="21">
        <f>EXP(-LN(2)/2)*AW121+(1-EXP(-LN(2)/2))/(LN(2)/2)*AQ122*AT122*VLOOKUP('Données projet'!$B$10,Paramètres!$A$1:$I$89,3,0)*0.475*44/12</f>
        <v>9.3263242517857329E-13</v>
      </c>
      <c r="AX122" s="21">
        <f t="shared" si="60"/>
        <v>1.6329296107910138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3.5470293369144201E-14</v>
      </c>
      <c r="BF122" s="13">
        <f t="shared" si="91"/>
        <v>6.0119115841663204E-13</v>
      </c>
      <c r="BG122" s="20">
        <f t="shared" si="61"/>
        <v>1.1088520285268936E-12</v>
      </c>
      <c r="BH122" s="59">
        <f t="shared" si="62"/>
        <v>293.33333333333445</v>
      </c>
      <c r="BI122" s="59">
        <f ca="1">AVERAGE(OFFSET($BH$3,0,0,'Données projet'!$E$11+1,1))-AVERAGE(OFFSET($H$3,0,0,'Données projet'!$E$11+1,1))</f>
        <v>162.91481796710048</v>
      </c>
      <c r="BJ122" s="59">
        <f t="shared" si="92"/>
        <v>182.56192390367823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0.47728298132052166</v>
      </c>
      <c r="BQ122" s="21">
        <f>EXP(-LN(2)/25)*BQ121+(1-EXP(-LN(2)/25))/(LN(2)/25)*Calculateur!BL122*Calculateur!BN122*VLOOKUP('Données projet'!$B$11,Paramètres!$A$1:$I$89,3,0)*0.475*44/12</f>
        <v>1.2954382417346226</v>
      </c>
      <c r="BR122" s="21">
        <f>EXP(-LN(2)/2)*BR121+(1-EXP(-LN(2)/2))/(LN(2)/2)*BL122*BO122*VLOOKUP('Données projet'!$B$11,Paramètres!$A$1:$I$89,3,0)*0.475*44/12</f>
        <v>7.2228133486377912E-13</v>
      </c>
      <c r="BS122" s="22">
        <f t="shared" si="63"/>
        <v>1.7727212230558667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-5.3205440053716299E-14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123.60520571614535</v>
      </c>
      <c r="CE122" s="59">
        <f t="shared" si="94"/>
        <v>119.00926870519527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0.14883132252338604</v>
      </c>
      <c r="CL122" s="21">
        <f>EXP(-LN(2)/25)*CL121+(1-EXP(-LN(2)/25))/(LN(2)/25)*Calculateur!CG122*Calculateur!CI122*VLOOKUP('Données projet'!$B$12,Paramètres!$A$1:$I$89,3,0)*0.475*44/12</f>
        <v>0.40501067810519525</v>
      </c>
      <c r="CM122" s="21">
        <f>EXP(-LN(2)/2)*CM121+(1-EXP(-LN(2)/2))/(LN(2)/2)*CG122*CJ122*VLOOKUP('Données projet'!$B$12,Paramètres!$A$1:$I$89,3,0)*0.475*44/12</f>
        <v>2.4573672285758934E-13</v>
      </c>
      <c r="CN122" s="22">
        <f t="shared" si="66"/>
        <v>0.55384200062882705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2.8</v>
      </c>
      <c r="CT122" s="12">
        <f>IF('Données projet'!$A$140&gt;35,CT121+CS122-DB121,IF(A122&lt;'Données projet'!$A$140,$CQ$205^A122,IF(A122='Données projet'!$A$140,'Données projet'!$B$140,CT121+CS122-DB121)))</f>
        <v>231.20000000000002</v>
      </c>
      <c r="CU122" s="17">
        <f>CT122*VLOOKUP('Données projet'!$B$13,Paramètres!$A$1:$I$89,3,0)*VLOOKUP('Données projet'!$B$13,Paramètres!$A$1:$I$89,5,0)</f>
        <v>241.65024000000005</v>
      </c>
      <c r="CV122" s="13">
        <f t="shared" si="95"/>
        <v>58.794445931519952</v>
      </c>
      <c r="CW122" s="20">
        <f t="shared" si="67"/>
        <v>523.27449466406392</v>
      </c>
      <c r="CX122" s="59">
        <f t="shared" si="68"/>
        <v>816.60782799739718</v>
      </c>
      <c r="CY122" s="59">
        <f ca="1">AVERAGE(OFFSET($CX$3,0,0,'Données projet'!$E$13+1,1))-AVERAGE(OFFSET($H$3,0,0,'Données projet'!$E$13+1,1))</f>
        <v>177.94336949486529</v>
      </c>
      <c r="CZ122" s="59">
        <f t="shared" si="96"/>
        <v>65.559373432574603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3.3992364478763198E-14</v>
      </c>
      <c r="DQ122" s="13">
        <f t="shared" si="97"/>
        <v>5.790027782444094E-13</v>
      </c>
      <c r="DR122" s="20">
        <f t="shared" si="70"/>
        <v>1.0676332069095257E-12</v>
      </c>
      <c r="DS122" s="59">
        <f t="shared" si="71"/>
        <v>293.33333333333439</v>
      </c>
      <c r="DT122" s="59">
        <f ca="1">AVERAGE(OFFSET($DS$3,0,0,'Données projet'!$E$14+1,1))-AVERAGE(OFFSET($H$3,0,0,'Données projet'!$E$14+1,1))</f>
        <v>165.39579887388538</v>
      </c>
      <c r="DU122" s="59">
        <f t="shared" si="98"/>
        <v>155.89639262545802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0.61803884544143084</v>
      </c>
      <c r="EC122" s="21">
        <f>EXP(-LN(2)/2)*EC121+(1-EXP(-LN(2)/2))/(LN(2)/2)*DW122*DZ122*VLOOKUP('Données projet'!$B$14,Paramètres!$A$1:$I$89,3,0)*0.475*44/12</f>
        <v>5.5789924952004243E-13</v>
      </c>
      <c r="ED122" s="22">
        <f t="shared" si="72"/>
        <v>0.61803884544198873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-1.1368683772161603E-12</v>
      </c>
      <c r="EK122" s="17">
        <f>EJ122*VLOOKUP('Données projet'!$B$15,Paramètres!$A$1:$I$89,3,0)*VLOOKUP('Données projet'!$B$15,Paramètres!$A$1:$I$89,5,0)</f>
        <v>-5.4683368944097316E-13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252.30925789500111</v>
      </c>
      <c r="EP122" s="59">
        <f t="shared" si="100"/>
        <v>213.96033794804805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0.79493895363540845</v>
      </c>
      <c r="EW122" s="21">
        <f>EXP(-LN(2)/25)*EW121+(1-EXP(-LN(2)/25))/(LN(2)/25)*Calculateur!ER122*Calculateur!ET122*VLOOKUP('Données projet'!$B$15,Paramètres!$A$1:$I$89,3,0)*0.475*44/12</f>
        <v>0.78245596636020864</v>
      </c>
      <c r="EX122" s="21">
        <f>EXP(-LN(2)/2)*EX121+(1-EXP(-LN(2)/2))/(LN(2)/2)*ER122*EU122*VLOOKUP('Données projet'!$B$15,Paramètres!$A$1:$I$89,3,0)*0.475*44/12</f>
        <v>5.7789606249329556E-13</v>
      </c>
      <c r="EY122" s="22">
        <f t="shared" si="75"/>
        <v>1.577394919996195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-1.1368683772161603E-12</v>
      </c>
      <c r="FF122" s="17">
        <f>FE122*VLOOKUP('Données projet'!$B$16,Paramètres!$A$1:$I$89,3,0)*VLOOKUP('Données projet'!$B$16,Paramètres!$A$1:$I$89,5,0)</f>
        <v>-5.4683368944097316E-13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252.30925789500111</v>
      </c>
      <c r="FK122" s="59">
        <f t="shared" si="102"/>
        <v>213.96033794804805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0.79493895363540845</v>
      </c>
      <c r="FR122" s="21">
        <f>EXP(-LN(2)/25)*FR121+(1-EXP(-LN(2)/25))/(LN(2)/25)*Calculateur!FM122*Calculateur!FO122*VLOOKUP('Données projet'!$B$16,Paramètres!$A$1:$I$89,3,0)*0.475*44/12</f>
        <v>0.78245596636020864</v>
      </c>
      <c r="FS122" s="21">
        <f>EXP(-LN(2)/2)*FS121+(1-EXP(-LN(2)/2))/(LN(2)/2)*FM122*FP122*VLOOKUP('Données projet'!$B$16,Paramètres!$A$1:$I$89,3,0)*0.475*44/12</f>
        <v>5.7789606249329556E-13</v>
      </c>
      <c r="FT122" s="22">
        <f t="shared" si="78"/>
        <v>1.577394919996195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117.54638373164624</v>
      </c>
      <c r="GF122" s="59">
        <f t="shared" si="104"/>
        <v>133.0740262536583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0.37963608504552721</v>
      </c>
      <c r="GM122" s="21">
        <f>EXP(-LN(2)/25)*GM121+(1-EXP(-LN(2)/25))/(LN(2)/25)*Calculateur!GH122*Calculateur!GJ122*VLOOKUP('Données projet'!$B$17,Paramètres!$A$1:$I$89,3,0)*0.475*44/12</f>
        <v>0.73388811057765913</v>
      </c>
      <c r="GN122" s="21">
        <f>EXP(-LN(2)/2)*GN121+(1-EXP(-LN(2)/2))/(LN(2)/2)*GH122*GK122*VLOOKUP('Données projet'!$B$17,Paramètres!$A$1:$I$89,3,0)*0.475*44/12</f>
        <v>1.6260722028693918E-13</v>
      </c>
      <c r="GO122" s="21">
        <f t="shared" si="81"/>
        <v>1.1135241956233488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2.8421709430404007E-14</v>
      </c>
      <c r="GV122" s="17">
        <f>GU122*VLOOKUP('Données projet'!$B$18,Paramètres!$A$1:$I$89,3,0)*VLOOKUP('Données projet'!$B$18,Paramètres!$A$1:$I$89,5,0)</f>
        <v>1.3567387213697657E-14</v>
      </c>
      <c r="GW122" s="13">
        <f t="shared" si="105"/>
        <v>2.5717320947985821E-13</v>
      </c>
      <c r="GX122" s="20">
        <f t="shared" si="82"/>
        <v>4.7153987257460977E-13</v>
      </c>
      <c r="GY122" s="59">
        <f t="shared" si="83"/>
        <v>293.33333333333377</v>
      </c>
      <c r="GZ122" s="59">
        <f ca="1">AVERAGE(OFFSET($GY$3,0,0,'Données projet'!$E$18+1,1))-AVERAGE(OFFSET($H$3,0,0,'Données projet'!$E$18+1,1))</f>
        <v>43.147469606759159</v>
      </c>
      <c r="HA122" s="59">
        <f t="shared" si="106"/>
        <v>147.46995307968473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6.1883397011277506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2.2154309355211708E-14</v>
      </c>
      <c r="HJ122" s="22">
        <f t="shared" si="84"/>
        <v>6.1883397011277728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234</v>
      </c>
      <c r="L123" s="12">
        <f>VLOOKUP(A123,'Données projet'!$A$35:$I$55,9,0)</f>
        <v>2.8</v>
      </c>
      <c r="M123" s="12">
        <f t="array" ref="M123">INDEX(L:L,MIN(IF(ISNUMBER(L123:L319),ROW(L123:L319),"")))</f>
        <v>2.8</v>
      </c>
      <c r="N123" s="13">
        <f>IF('Données projet'!$A$36&gt;35,N122+M123-V122,IF(A123&lt;'Données projet'!$A$36,$K$205^A123,IF(A123='Données projet'!$A$36,'Données projet'!$B$36,N122+M123-V122)))</f>
        <v>234.00000000000003</v>
      </c>
      <c r="O123" s="13">
        <f>N123*VLOOKUP('Données projet'!$B$9,Paramètres!$A$1:$I$89,3,0)*VLOOKUP('Données projet'!$B$9,Paramètres!$A$1:$I$89,5,0)</f>
        <v>211.72319999999999</v>
      </c>
      <c r="P123" s="13">
        <f t="shared" si="87"/>
        <v>52.311968964212078</v>
      </c>
      <c r="Q123" s="20">
        <f t="shared" si="107"/>
        <v>459.86125261266926</v>
      </c>
      <c r="R123" s="59">
        <f t="shared" si="55"/>
        <v>753.19458594600258</v>
      </c>
      <c r="S123" s="59">
        <f ca="1">AVERAGE(OFFSET($R$3,0,0,'Données projet'!$E$9+1,1))-AVERAGE(OFFSET($H$3,0,0,'Données projet'!$E$9+1,1))</f>
        <v>138.8931001150624</v>
      </c>
      <c r="T123" s="59">
        <f t="shared" si="88"/>
        <v>48.964659354096625</v>
      </c>
      <c r="U123" s="15">
        <f>IF(ISNA(VLOOKUP(A123,'Données projet'!$A$35:$I$55,3,0)),0,VLOOKUP(A123,'Données projet'!$A$35:$I$55,3,0))</f>
        <v>9</v>
      </c>
      <c r="V123" s="15">
        <f>IF(ISNA(VLOOKUP(A123,'Données projet'!$A$35:$I$55,4,0)),0,VLOOKUP(A123,'Données projet'!$A$35:$I$55,4,0))</f>
        <v>234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-7.4487616075202836E-14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191.94797389630673</v>
      </c>
      <c r="AO123" s="59">
        <f t="shared" si="90"/>
        <v>273.52540822767878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1.1585404025037525</v>
      </c>
      <c r="AW123" s="21">
        <f>EXP(-LN(2)/2)*AW122+(1-EXP(-LN(2)/2))/(LN(2)/2)*AQ123*AT123*VLOOKUP('Données projet'!$B$10,Paramètres!$A$1:$I$89,3,0)*0.475*44/12</f>
        <v>6.594707121982246E-13</v>
      </c>
      <c r="AX123" s="21">
        <f t="shared" si="60"/>
        <v>1.5916948212381226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3.5470293369144201E-14</v>
      </c>
      <c r="BF123" s="13">
        <f t="shared" si="91"/>
        <v>6.0119115841663204E-13</v>
      </c>
      <c r="BG123" s="20">
        <f t="shared" si="61"/>
        <v>1.1088520285268936E-12</v>
      </c>
      <c r="BH123" s="59">
        <f t="shared" si="62"/>
        <v>293.33333333333445</v>
      </c>
      <c r="BI123" s="59">
        <f ca="1">AVERAGE(OFFSET($BH$3,0,0,'Données projet'!$E$11+1,1))-AVERAGE(OFFSET($H$3,0,0,'Données projet'!$E$11+1,1))</f>
        <v>162.91481796710048</v>
      </c>
      <c r="BJ123" s="59">
        <f t="shared" si="92"/>
        <v>182.56192390367823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0.46792375317069973</v>
      </c>
      <c r="BQ123" s="21">
        <f>EXP(-LN(2)/25)*BQ122+(1-EXP(-LN(2)/25))/(LN(2)/25)*Calculateur!BL123*Calculateur!BN123*VLOOKUP('Données projet'!$B$11,Paramètres!$A$1:$I$89,3,0)*0.475*44/12</f>
        <v>1.260014414890253</v>
      </c>
      <c r="BR123" s="21">
        <f>EXP(-LN(2)/2)*BR122+(1-EXP(-LN(2)/2))/(LN(2)/2)*BL123*BO123*VLOOKUP('Données projet'!$B$11,Paramètres!$A$1:$I$89,3,0)*0.475*44/12</f>
        <v>5.1073002980664971E-13</v>
      </c>
      <c r="BS123" s="22">
        <f t="shared" si="63"/>
        <v>1.7279381680614634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-5.3205440053716299E-14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123.60520571614535</v>
      </c>
      <c r="CE123" s="59">
        <f t="shared" si="94"/>
        <v>119.00926870519527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0.14591283106684558</v>
      </c>
      <c r="CL123" s="21">
        <f>EXP(-LN(2)/25)*CL122+(1-EXP(-LN(2)/25))/(LN(2)/25)*Calculateur!CG123*Calculateur!CI123*VLOOKUP('Données projet'!$B$12,Paramètres!$A$1:$I$89,3,0)*0.475*44/12</f>
        <v>0.39393563981382279</v>
      </c>
      <c r="CM123" s="21">
        <f>EXP(-LN(2)/2)*CM122+(1-EXP(-LN(2)/2))/(LN(2)/2)*CG123*CJ123*VLOOKUP('Données projet'!$B$12,Paramètres!$A$1:$I$89,3,0)*0.475*44/12</f>
        <v>1.737621031191607E-13</v>
      </c>
      <c r="CN123" s="22">
        <f t="shared" si="66"/>
        <v>0.53984847088084209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234</v>
      </c>
      <c r="CR123" s="12">
        <f>VLOOKUP(A123,'Données projet'!$A$139:$I$159,9,0)</f>
        <v>2.8</v>
      </c>
      <c r="CS123" s="12">
        <f t="array" ref="CS123">INDEX(CR:CR,MIN(IF(ISNUMBER(CR123:CR319),ROW(CR123:CR319),"")))</f>
        <v>2.8</v>
      </c>
      <c r="CT123" s="12">
        <f>IF('Données projet'!$A$140&gt;35,CT122+CS123-DB122,IF(A123&lt;'Données projet'!$A$140,$CQ$205^A123,IF(A123='Données projet'!$A$140,'Données projet'!$B$140,CT122+CS123-DB122)))</f>
        <v>234.00000000000003</v>
      </c>
      <c r="CU123" s="17">
        <f>CT123*VLOOKUP('Données projet'!$B$13,Paramètres!$A$1:$I$89,3,0)*VLOOKUP('Données projet'!$B$13,Paramètres!$A$1:$I$89,5,0)</f>
        <v>244.57680000000005</v>
      </c>
      <c r="CV123" s="13">
        <f t="shared" si="95"/>
        <v>59.423166060201147</v>
      </c>
      <c r="CW123" s="20">
        <f t="shared" si="67"/>
        <v>529.46660755485038</v>
      </c>
      <c r="CX123" s="59">
        <f t="shared" si="68"/>
        <v>822.79994088818376</v>
      </c>
      <c r="CY123" s="59">
        <f ca="1">AVERAGE(OFFSET($CX$3,0,0,'Données projet'!$E$13+1,1))-AVERAGE(OFFSET($H$3,0,0,'Données projet'!$E$13+1,1))</f>
        <v>177.94336949486529</v>
      </c>
      <c r="CZ123" s="59">
        <f t="shared" si="96"/>
        <v>65.559373432574603</v>
      </c>
      <c r="DA123" s="15">
        <f>IF(ISNA(VLOOKUP(A123,'Données projet'!$A$139:$I$159,3,0)),0,VLOOKUP(A123,'Données projet'!$A$139:$I$159,3,0))</f>
        <v>9</v>
      </c>
      <c r="DB123" s="15">
        <f>IF(ISNA(VLOOKUP(A123,'Données projet'!$A$139:$I$159,4,0)),0,VLOOKUP(A123,'Données projet'!$A$139:$I$159,4,0))</f>
        <v>234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3.3992364478763198E-14</v>
      </c>
      <c r="DQ123" s="13">
        <f t="shared" si="97"/>
        <v>5.790027782444094E-13</v>
      </c>
      <c r="DR123" s="20">
        <f t="shared" si="70"/>
        <v>1.0676332069095257E-12</v>
      </c>
      <c r="DS123" s="59">
        <f t="shared" si="71"/>
        <v>293.33333333333439</v>
      </c>
      <c r="DT123" s="59">
        <f ca="1">AVERAGE(OFFSET($DS$3,0,0,'Données projet'!$E$14+1,1))-AVERAGE(OFFSET($H$3,0,0,'Données projet'!$E$14+1,1))</f>
        <v>165.39579887388538</v>
      </c>
      <c r="DU123" s="59">
        <f t="shared" si="98"/>
        <v>155.89639262545802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0.60113854071158457</v>
      </c>
      <c r="EC123" s="21">
        <f>EXP(-LN(2)/2)*EC122+(1-EXP(-LN(2)/2))/(LN(2)/2)*DW123*DZ123*VLOOKUP('Données projet'!$B$14,Paramètres!$A$1:$I$89,3,0)*0.475*44/12</f>
        <v>3.9449434255450773E-13</v>
      </c>
      <c r="ED123" s="22">
        <f t="shared" si="72"/>
        <v>0.60113854071197903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-1.1368683772161603E-12</v>
      </c>
      <c r="EK123" s="17">
        <f>EJ123*VLOOKUP('Données projet'!$B$15,Paramètres!$A$1:$I$89,3,0)*VLOOKUP('Données projet'!$B$15,Paramètres!$A$1:$I$89,5,0)</f>
        <v>-5.4683368944097316E-13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252.30925789500111</v>
      </c>
      <c r="EP123" s="59">
        <f t="shared" si="100"/>
        <v>213.96033794804805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0.77935068561950338</v>
      </c>
      <c r="EW123" s="21">
        <f>EXP(-LN(2)/25)*EW122+(1-EXP(-LN(2)/25))/(LN(2)/25)*Calculateur!ER123*Calculateur!ET123*VLOOKUP('Données projet'!$B$15,Paramètres!$A$1:$I$89,3,0)*0.475*44/12</f>
        <v>0.7610596668125178</v>
      </c>
      <c r="EX123" s="21">
        <f>EXP(-LN(2)/2)*EX122+(1-EXP(-LN(2)/2))/(LN(2)/2)*ER123*EU123*VLOOKUP('Données projet'!$B$15,Paramètres!$A$1:$I$89,3,0)*0.475*44/12</f>
        <v>4.0863422461001414E-13</v>
      </c>
      <c r="EY123" s="22">
        <f t="shared" si="75"/>
        <v>1.5404103524324297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-1.1368683772161603E-12</v>
      </c>
      <c r="FF123" s="17">
        <f>FE123*VLOOKUP('Données projet'!$B$16,Paramètres!$A$1:$I$89,3,0)*VLOOKUP('Données projet'!$B$16,Paramètres!$A$1:$I$89,5,0)</f>
        <v>-5.4683368944097316E-13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252.30925789500111</v>
      </c>
      <c r="FK123" s="59">
        <f t="shared" si="102"/>
        <v>213.96033794804805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0.77935068561950338</v>
      </c>
      <c r="FR123" s="21">
        <f>EXP(-LN(2)/25)*FR122+(1-EXP(-LN(2)/25))/(LN(2)/25)*Calculateur!FM123*Calculateur!FO123*VLOOKUP('Données projet'!$B$16,Paramètres!$A$1:$I$89,3,0)*0.475*44/12</f>
        <v>0.7610596668125178</v>
      </c>
      <c r="FS123" s="21">
        <f>EXP(-LN(2)/2)*FS122+(1-EXP(-LN(2)/2))/(LN(2)/2)*FM123*FP123*VLOOKUP('Données projet'!$B$16,Paramètres!$A$1:$I$89,3,0)*0.475*44/12</f>
        <v>4.0863422461001414E-13</v>
      </c>
      <c r="FT123" s="22">
        <f t="shared" si="78"/>
        <v>1.5404103524324297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117.54638373164624</v>
      </c>
      <c r="GF123" s="59">
        <f t="shared" si="104"/>
        <v>133.0740262536583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0.37219165297293211</v>
      </c>
      <c r="GM123" s="21">
        <f>EXP(-LN(2)/25)*GM122+(1-EXP(-LN(2)/25))/(LN(2)/25)*Calculateur!GH123*Calculateur!GJ123*VLOOKUP('Données projet'!$B$17,Paramètres!$A$1:$I$89,3,0)*0.475*44/12</f>
        <v>0.71381990160041464</v>
      </c>
      <c r="GN123" s="21">
        <f>EXP(-LN(2)/2)*GN122+(1-EXP(-LN(2)/2))/(LN(2)/2)*GH123*GK123*VLOOKUP('Données projet'!$B$17,Paramètres!$A$1:$I$89,3,0)*0.475*44/12</f>
        <v>1.1498066813478943E-13</v>
      </c>
      <c r="GO123" s="21">
        <f t="shared" si="81"/>
        <v>1.0860115545734619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2.8421709430404007E-14</v>
      </c>
      <c r="GV123" s="17">
        <f>GU123*VLOOKUP('Données projet'!$B$18,Paramètres!$A$1:$I$89,3,0)*VLOOKUP('Données projet'!$B$18,Paramètres!$A$1:$I$89,5,0)</f>
        <v>1.3567387213697657E-14</v>
      </c>
      <c r="GW123" s="13">
        <f t="shared" si="105"/>
        <v>2.5717320947985821E-13</v>
      </c>
      <c r="GX123" s="20">
        <f t="shared" si="82"/>
        <v>4.7153987257460977E-13</v>
      </c>
      <c r="GY123" s="59">
        <f t="shared" si="83"/>
        <v>293.33333333333377</v>
      </c>
      <c r="GZ123" s="59">
        <f ca="1">AVERAGE(OFFSET($GY$3,0,0,'Données projet'!$E$18+1,1))-AVERAGE(OFFSET($H$3,0,0,'Données projet'!$E$18+1,1))</f>
        <v>43.147469606759159</v>
      </c>
      <c r="HA123" s="59">
        <f t="shared" si="106"/>
        <v>147.46995307968473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6.0669901341031505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1.5665462377574768E-14</v>
      </c>
      <c r="HJ123" s="22">
        <f t="shared" si="84"/>
        <v>6.0669901341031665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2.8421709430404007E-14</v>
      </c>
      <c r="O124" s="13">
        <f>N124*VLOOKUP('Données projet'!$B$9,Paramètres!$A$1:$I$89,3,0)*VLOOKUP('Données projet'!$B$9,Paramètres!$A$1:$I$89,5,0)</f>
        <v>2.5715962692629544E-14</v>
      </c>
      <c r="P124" s="13">
        <f t="shared" si="87"/>
        <v>4.5248818890525812E-13</v>
      </c>
      <c r="Q124" s="20">
        <f t="shared" si="107"/>
        <v>8.3287223069965432E-13</v>
      </c>
      <c r="R124" s="59">
        <f t="shared" si="55"/>
        <v>293.33333333333417</v>
      </c>
      <c r="S124" s="59">
        <f ca="1">AVERAGE(OFFSET($R$3,0,0,'Données projet'!$E$9+1,1))-AVERAGE(OFFSET($H$3,0,0,'Données projet'!$E$9+1,1))</f>
        <v>138.8931001150624</v>
      </c>
      <c r="T124" s="59">
        <f t="shared" si="88"/>
        <v>48.964659354096625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-7.4487616075202836E-14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191.94797389630673</v>
      </c>
      <c r="AO124" s="59">
        <f t="shared" si="90"/>
        <v>273.52540822767878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1.1268600542722955</v>
      </c>
      <c r="AW124" s="21">
        <f>EXP(-LN(2)/2)*AW123+(1-EXP(-LN(2)/2))/(LN(2)/2)*AQ124*AT124*VLOOKUP('Données projet'!$B$10,Paramètres!$A$1:$I$89,3,0)*0.475*44/12</f>
        <v>4.6631621258928665E-13</v>
      </c>
      <c r="AX124" s="21">
        <f t="shared" si="60"/>
        <v>1.5515205790532123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3.5470293369144201E-14</v>
      </c>
      <c r="BF124" s="13">
        <f t="shared" si="91"/>
        <v>6.0119115841663204E-13</v>
      </c>
      <c r="BG124" s="20">
        <f t="shared" si="61"/>
        <v>1.1088520285268936E-12</v>
      </c>
      <c r="BH124" s="59">
        <f t="shared" si="62"/>
        <v>293.33333333333445</v>
      </c>
      <c r="BI124" s="59">
        <f ca="1">AVERAGE(OFFSET($BH$3,0,0,'Données projet'!$E$11+1,1))-AVERAGE(OFFSET($H$3,0,0,'Données projet'!$E$11+1,1))</f>
        <v>162.91481796710048</v>
      </c>
      <c r="BJ124" s="59">
        <f t="shared" si="92"/>
        <v>182.56192390367823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0.45874805377633032</v>
      </c>
      <c r="BQ124" s="21">
        <f>EXP(-LN(2)/25)*BQ123+(1-EXP(-LN(2)/25))/(LN(2)/25)*Calculateur!BL124*Calculateur!BN124*VLOOKUP('Données projet'!$B$11,Paramètres!$A$1:$I$89,3,0)*0.475*44/12</f>
        <v>1.2255592544538008</v>
      </c>
      <c r="BR124" s="21">
        <f>EXP(-LN(2)/2)*BR123+(1-EXP(-LN(2)/2))/(LN(2)/2)*BL124*BO124*VLOOKUP('Données projet'!$B$11,Paramètres!$A$1:$I$89,3,0)*0.475*44/12</f>
        <v>3.6114066743188956E-13</v>
      </c>
      <c r="BS124" s="22">
        <f t="shared" si="63"/>
        <v>1.6843073082304922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-5.3205440053716299E-14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123.60520571614535</v>
      </c>
      <c r="CE124" s="59">
        <f t="shared" si="94"/>
        <v>119.00926870519527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0.14305156944766387</v>
      </c>
      <c r="CL124" s="21">
        <f>EXP(-LN(2)/25)*CL123+(1-EXP(-LN(2)/25))/(LN(2)/25)*Calculateur!CG124*Calculateur!CI124*VLOOKUP('Données projet'!$B$12,Paramètres!$A$1:$I$89,3,0)*0.475*44/12</f>
        <v>0.38316344902693888</v>
      </c>
      <c r="CM124" s="21">
        <f>EXP(-LN(2)/2)*CM123+(1-EXP(-LN(2)/2))/(LN(2)/2)*CG124*CJ124*VLOOKUP('Données projet'!$B$12,Paramètres!$A$1:$I$89,3,0)*0.475*44/12</f>
        <v>1.2286836142879467E-13</v>
      </c>
      <c r="CN124" s="22">
        <f t="shared" si="66"/>
        <v>0.52621501847472563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2.9706370696658272E-14</v>
      </c>
      <c r="CV124" s="13">
        <f t="shared" si="95"/>
        <v>5.1399863782592153E-13</v>
      </c>
      <c r="CW124" s="20">
        <f t="shared" si="67"/>
        <v>9.4695288984349312E-13</v>
      </c>
      <c r="CX124" s="59">
        <f t="shared" si="68"/>
        <v>293.33333333333428</v>
      </c>
      <c r="CY124" s="59">
        <f ca="1">AVERAGE(OFFSET($CX$3,0,0,'Données projet'!$E$13+1,1))-AVERAGE(OFFSET($H$3,0,0,'Données projet'!$E$13+1,1))</f>
        <v>177.94336949486529</v>
      </c>
      <c r="CZ124" s="59">
        <f t="shared" si="96"/>
        <v>65.559373432574603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3.3992364478763198E-14</v>
      </c>
      <c r="DQ124" s="13">
        <f t="shared" si="97"/>
        <v>5.790027782444094E-13</v>
      </c>
      <c r="DR124" s="20">
        <f t="shared" si="70"/>
        <v>1.0676332069095257E-12</v>
      </c>
      <c r="DS124" s="59">
        <f t="shared" si="71"/>
        <v>293.33333333333439</v>
      </c>
      <c r="DT124" s="59">
        <f ca="1">AVERAGE(OFFSET($DS$3,0,0,'Données projet'!$E$14+1,1))-AVERAGE(OFFSET($H$3,0,0,'Données projet'!$E$14+1,1))</f>
        <v>165.39579887388538</v>
      </c>
      <c r="DU124" s="59">
        <f t="shared" si="98"/>
        <v>155.89639262545802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0.58470037570332434</v>
      </c>
      <c r="EC124" s="21">
        <f>EXP(-LN(2)/2)*EC123+(1-EXP(-LN(2)/2))/(LN(2)/2)*DW124*DZ124*VLOOKUP('Données projet'!$B$14,Paramètres!$A$1:$I$89,3,0)*0.475*44/12</f>
        <v>2.7894962476002122E-13</v>
      </c>
      <c r="ED124" s="22">
        <f t="shared" si="72"/>
        <v>0.58470037570360334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-1.1368683772161603E-12</v>
      </c>
      <c r="EK124" s="17">
        <f>EJ124*VLOOKUP('Données projet'!$B$15,Paramètres!$A$1:$I$89,3,0)*VLOOKUP('Données projet'!$B$15,Paramètres!$A$1:$I$89,5,0)</f>
        <v>-5.4683368944097316E-13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252.30925789500111</v>
      </c>
      <c r="EP124" s="59">
        <f t="shared" si="100"/>
        <v>213.96033794804805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0.76406809403148557</v>
      </c>
      <c r="EW124" s="21">
        <f>EXP(-LN(2)/25)*EW123+(1-EXP(-LN(2)/25))/(LN(2)/25)*Calculateur!ER124*Calculateur!ET124*VLOOKUP('Données projet'!$B$15,Paramètres!$A$1:$I$89,3,0)*0.475*44/12</f>
        <v>0.74024845020114105</v>
      </c>
      <c r="EX124" s="21">
        <f>EXP(-LN(2)/2)*EX123+(1-EXP(-LN(2)/2))/(LN(2)/2)*ER124*EU124*VLOOKUP('Données projet'!$B$15,Paramètres!$A$1:$I$89,3,0)*0.475*44/12</f>
        <v>2.8894803124664778E-13</v>
      </c>
      <c r="EY124" s="22">
        <f t="shared" si="75"/>
        <v>1.5043165442329156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-1.1368683772161603E-12</v>
      </c>
      <c r="FF124" s="17">
        <f>FE124*VLOOKUP('Données projet'!$B$16,Paramètres!$A$1:$I$89,3,0)*VLOOKUP('Données projet'!$B$16,Paramètres!$A$1:$I$89,5,0)</f>
        <v>-5.4683368944097316E-13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252.30925789500111</v>
      </c>
      <c r="FK124" s="59">
        <f t="shared" si="102"/>
        <v>213.96033794804805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0.76406809403148557</v>
      </c>
      <c r="FR124" s="21">
        <f>EXP(-LN(2)/25)*FR123+(1-EXP(-LN(2)/25))/(LN(2)/25)*Calculateur!FM124*Calculateur!FO124*VLOOKUP('Données projet'!$B$16,Paramètres!$A$1:$I$89,3,0)*0.475*44/12</f>
        <v>0.74024845020114105</v>
      </c>
      <c r="FS124" s="21">
        <f>EXP(-LN(2)/2)*FS123+(1-EXP(-LN(2)/2))/(LN(2)/2)*FM124*FP124*VLOOKUP('Données projet'!$B$16,Paramètres!$A$1:$I$89,3,0)*0.475*44/12</f>
        <v>2.8894803124664778E-13</v>
      </c>
      <c r="FT124" s="22">
        <f t="shared" si="78"/>
        <v>1.5043165442329156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117.54638373164624</v>
      </c>
      <c r="GF124" s="59">
        <f t="shared" si="104"/>
        <v>133.0740262536583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0.3648932016726254</v>
      </c>
      <c r="GM124" s="21">
        <f>EXP(-LN(2)/25)*GM123+(1-EXP(-LN(2)/25))/(LN(2)/25)*Calculateur!GH124*Calculateur!GJ124*VLOOKUP('Données projet'!$B$17,Paramètres!$A$1:$I$89,3,0)*0.475*44/12</f>
        <v>0.69430045885299418</v>
      </c>
      <c r="GN124" s="21">
        <f>EXP(-LN(2)/2)*GN123+(1-EXP(-LN(2)/2))/(LN(2)/2)*GH124*GK124*VLOOKUP('Données projet'!$B$17,Paramètres!$A$1:$I$89,3,0)*0.475*44/12</f>
        <v>8.1303610143469588E-14</v>
      </c>
      <c r="GO124" s="21">
        <f t="shared" si="81"/>
        <v>1.0591936605257009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2.8421709430404007E-14</v>
      </c>
      <c r="GV124" s="17">
        <f>GU124*VLOOKUP('Données projet'!$B$18,Paramètres!$A$1:$I$89,3,0)*VLOOKUP('Données projet'!$B$18,Paramètres!$A$1:$I$89,5,0)</f>
        <v>1.3567387213697657E-14</v>
      </c>
      <c r="GW124" s="13">
        <f t="shared" si="105"/>
        <v>2.5717320947985821E-13</v>
      </c>
      <c r="GX124" s="20">
        <f t="shared" si="82"/>
        <v>4.7153987257460977E-13</v>
      </c>
      <c r="GY124" s="59">
        <f t="shared" si="83"/>
        <v>293.33333333333377</v>
      </c>
      <c r="GZ124" s="59">
        <f ca="1">AVERAGE(OFFSET($GY$3,0,0,'Données projet'!$E$18+1,1))-AVERAGE(OFFSET($H$3,0,0,'Données projet'!$E$18+1,1))</f>
        <v>43.147469606759159</v>
      </c>
      <c r="HA124" s="59">
        <f t="shared" si="106"/>
        <v>147.46995307968473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5.9480201580719756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1.1077154677605854E-14</v>
      </c>
      <c r="HJ124" s="22">
        <f t="shared" si="84"/>
        <v>5.9480201580719863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2.8421709430404007E-14</v>
      </c>
      <c r="O125" s="13">
        <f>N125*VLOOKUP('Données projet'!$B$9,Paramètres!$A$1:$I$89,3,0)*VLOOKUP('Données projet'!$B$9,Paramètres!$A$1:$I$89,5,0)</f>
        <v>2.5715962692629544E-14</v>
      </c>
      <c r="P125" s="13">
        <f t="shared" si="87"/>
        <v>4.5248818890525812E-13</v>
      </c>
      <c r="Q125" s="20">
        <f t="shared" si="107"/>
        <v>8.3287223069965432E-13</v>
      </c>
      <c r="R125" s="59">
        <f t="shared" si="55"/>
        <v>293.33333333333417</v>
      </c>
      <c r="S125" s="59">
        <f ca="1">AVERAGE(OFFSET($R$3,0,0,'Données projet'!$E$9+1,1))-AVERAGE(OFFSET($H$3,0,0,'Données projet'!$E$9+1,1))</f>
        <v>138.8931001150624</v>
      </c>
      <c r="T125" s="59">
        <f t="shared" si="88"/>
        <v>48.964659354096625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-7.4487616075202836E-14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191.94797389630673</v>
      </c>
      <c r="AO125" s="59">
        <f t="shared" si="90"/>
        <v>273.52540822767878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1.0960460068292248</v>
      </c>
      <c r="AW125" s="21">
        <f>EXP(-LN(2)/2)*AW124+(1-EXP(-LN(2)/2))/(LN(2)/2)*AQ125*AT125*VLOOKUP('Données projet'!$B$10,Paramètres!$A$1:$I$89,3,0)*0.475*44/12</f>
        <v>3.297353560991123E-13</v>
      </c>
      <c r="AX125" s="21">
        <f t="shared" si="60"/>
        <v>1.5123791977364047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3.5470293369144201E-14</v>
      </c>
      <c r="BF125" s="13">
        <f t="shared" si="91"/>
        <v>6.0119115841663204E-13</v>
      </c>
      <c r="BG125" s="20">
        <f t="shared" si="61"/>
        <v>1.1088520285268936E-12</v>
      </c>
      <c r="BH125" s="59">
        <f t="shared" si="62"/>
        <v>293.33333333333445</v>
      </c>
      <c r="BI125" s="59">
        <f ca="1">AVERAGE(OFFSET($BH$3,0,0,'Données projet'!$E$11+1,1))-AVERAGE(OFFSET($H$3,0,0,'Données projet'!$E$11+1,1))</f>
        <v>162.91481796710048</v>
      </c>
      <c r="BJ125" s="59">
        <f t="shared" si="92"/>
        <v>182.56192390367823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0.44975228425046049</v>
      </c>
      <c r="BQ125" s="21">
        <f>EXP(-LN(2)/25)*BQ124+(1-EXP(-LN(2)/25))/(LN(2)/25)*Calculateur!BL125*Calculateur!BN125*VLOOKUP('Données projet'!$B$11,Paramètres!$A$1:$I$89,3,0)*0.475*44/12</f>
        <v>1.1920462721914014</v>
      </c>
      <c r="BR125" s="21">
        <f>EXP(-LN(2)/2)*BR124+(1-EXP(-LN(2)/2))/(LN(2)/2)*BL125*BO125*VLOOKUP('Données projet'!$B$11,Paramètres!$A$1:$I$89,3,0)*0.475*44/12</f>
        <v>2.5536501490332485E-13</v>
      </c>
      <c r="BS125" s="22">
        <f t="shared" si="63"/>
        <v>1.6417985564421171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-5.3205440053716299E-14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123.60520571614535</v>
      </c>
      <c r="CE125" s="59">
        <f t="shared" si="94"/>
        <v>119.00926870519527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0.14024641542363703</v>
      </c>
      <c r="CL125" s="21">
        <f>EXP(-LN(2)/25)*CL124+(1-EXP(-LN(2)/25))/(LN(2)/25)*Calculateur!CG125*Calculateur!CI125*VLOOKUP('Données projet'!$B$12,Paramètres!$A$1:$I$89,3,0)*0.475*44/12</f>
        <v>0.3726858243636072</v>
      </c>
      <c r="CM125" s="21">
        <f>EXP(-LN(2)/2)*CM124+(1-EXP(-LN(2)/2))/(LN(2)/2)*CG125*CJ125*VLOOKUP('Données projet'!$B$12,Paramètres!$A$1:$I$89,3,0)*0.475*44/12</f>
        <v>8.6881051559580349E-14</v>
      </c>
      <c r="CN125" s="22">
        <f t="shared" si="66"/>
        <v>0.51293223978733116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2.9706370696658272E-14</v>
      </c>
      <c r="CV125" s="13">
        <f t="shared" si="95"/>
        <v>5.1399863782592153E-13</v>
      </c>
      <c r="CW125" s="20">
        <f t="shared" si="67"/>
        <v>9.4695288984349312E-13</v>
      </c>
      <c r="CX125" s="59">
        <f t="shared" si="68"/>
        <v>293.33333333333428</v>
      </c>
      <c r="CY125" s="59">
        <f ca="1">AVERAGE(OFFSET($CX$3,0,0,'Données projet'!$E$13+1,1))-AVERAGE(OFFSET($H$3,0,0,'Données projet'!$E$13+1,1))</f>
        <v>177.94336949486529</v>
      </c>
      <c r="CZ125" s="59">
        <f t="shared" si="96"/>
        <v>65.559373432574603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3.3992364478763198E-14</v>
      </c>
      <c r="DQ125" s="13">
        <f t="shared" si="97"/>
        <v>5.790027782444094E-13</v>
      </c>
      <c r="DR125" s="20">
        <f t="shared" si="70"/>
        <v>1.0676332069095257E-12</v>
      </c>
      <c r="DS125" s="59">
        <f t="shared" si="71"/>
        <v>293.33333333333439</v>
      </c>
      <c r="DT125" s="59">
        <f ca="1">AVERAGE(OFFSET($DS$3,0,0,'Données projet'!$E$14+1,1))-AVERAGE(OFFSET($H$3,0,0,'Données projet'!$E$14+1,1))</f>
        <v>165.39579887388538</v>
      </c>
      <c r="DU125" s="59">
        <f t="shared" si="98"/>
        <v>155.89639262545802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0.56871171318166047</v>
      </c>
      <c r="EC125" s="21">
        <f>EXP(-LN(2)/2)*EC124+(1-EXP(-LN(2)/2))/(LN(2)/2)*DW125*DZ125*VLOOKUP('Données projet'!$B$14,Paramètres!$A$1:$I$89,3,0)*0.475*44/12</f>
        <v>1.9724717127725386E-13</v>
      </c>
      <c r="ED125" s="22">
        <f t="shared" si="72"/>
        <v>0.56871171318185776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-1.1368683772161603E-12</v>
      </c>
      <c r="EK125" s="17">
        <f>EJ125*VLOOKUP('Données projet'!$B$15,Paramètres!$A$1:$I$89,3,0)*VLOOKUP('Données projet'!$B$15,Paramètres!$A$1:$I$89,5,0)</f>
        <v>-5.4683368944097316E-13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252.30925789500111</v>
      </c>
      <c r="EP125" s="59">
        <f t="shared" si="100"/>
        <v>213.96033794804805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0.7490851847430483</v>
      </c>
      <c r="EW125" s="21">
        <f>EXP(-LN(2)/25)*EW124+(1-EXP(-LN(2)/25))/(LN(2)/25)*Calculateur!ER125*Calculateur!ET125*VLOOKUP('Données projet'!$B$15,Paramètres!$A$1:$I$89,3,0)*0.475*44/12</f>
        <v>0.72000631740241672</v>
      </c>
      <c r="EX125" s="21">
        <f>EXP(-LN(2)/2)*EX124+(1-EXP(-LN(2)/2))/(LN(2)/2)*ER125*EU125*VLOOKUP('Données projet'!$B$15,Paramètres!$A$1:$I$89,3,0)*0.475*44/12</f>
        <v>2.0431711230500707E-13</v>
      </c>
      <c r="EY125" s="22">
        <f t="shared" si="75"/>
        <v>1.4690915021456692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-1.1368683772161603E-12</v>
      </c>
      <c r="FF125" s="17">
        <f>FE125*VLOOKUP('Données projet'!$B$16,Paramètres!$A$1:$I$89,3,0)*VLOOKUP('Données projet'!$B$16,Paramètres!$A$1:$I$89,5,0)</f>
        <v>-5.4683368944097316E-13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252.30925789500111</v>
      </c>
      <c r="FK125" s="59">
        <f t="shared" si="102"/>
        <v>213.96033794804805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0.7490851847430483</v>
      </c>
      <c r="FR125" s="21">
        <f>EXP(-LN(2)/25)*FR124+(1-EXP(-LN(2)/25))/(LN(2)/25)*Calculateur!FM125*Calculateur!FO125*VLOOKUP('Données projet'!$B$16,Paramètres!$A$1:$I$89,3,0)*0.475*44/12</f>
        <v>0.72000631740241672</v>
      </c>
      <c r="FS125" s="21">
        <f>EXP(-LN(2)/2)*FS124+(1-EXP(-LN(2)/2))/(LN(2)/2)*FM125*FP125*VLOOKUP('Données projet'!$B$16,Paramètres!$A$1:$I$89,3,0)*0.475*44/12</f>
        <v>2.0431711230500707E-13</v>
      </c>
      <c r="FT125" s="22">
        <f t="shared" si="78"/>
        <v>1.4690915021456692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117.54638373164624</v>
      </c>
      <c r="GF125" s="59">
        <f t="shared" si="104"/>
        <v>133.0740262536583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0.357737868550702</v>
      </c>
      <c r="GM125" s="21">
        <f>EXP(-LN(2)/25)*GM124+(1-EXP(-LN(2)/25))/(LN(2)/25)*Calculateur!GH125*Calculateur!GJ125*VLOOKUP('Données projet'!$B$17,Paramètres!$A$1:$I$89,3,0)*0.475*44/12</f>
        <v>0.67531477629398473</v>
      </c>
      <c r="GN125" s="21">
        <f>EXP(-LN(2)/2)*GN124+(1-EXP(-LN(2)/2))/(LN(2)/2)*GH125*GK125*VLOOKUP('Données projet'!$B$17,Paramètres!$A$1:$I$89,3,0)*0.475*44/12</f>
        <v>5.7490334067394715E-14</v>
      </c>
      <c r="GO125" s="21">
        <f t="shared" si="81"/>
        <v>1.0330526448447441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2.8421709430404007E-14</v>
      </c>
      <c r="GV125" s="17">
        <f>GU125*VLOOKUP('Données projet'!$B$18,Paramètres!$A$1:$I$89,3,0)*VLOOKUP('Données projet'!$B$18,Paramètres!$A$1:$I$89,5,0)</f>
        <v>1.3567387213697657E-14</v>
      </c>
      <c r="GW125" s="13">
        <f t="shared" si="105"/>
        <v>2.5717320947985821E-13</v>
      </c>
      <c r="GX125" s="20">
        <f t="shared" si="82"/>
        <v>4.7153987257460977E-13</v>
      </c>
      <c r="GY125" s="59">
        <f t="shared" si="83"/>
        <v>293.33333333333377</v>
      </c>
      <c r="GZ125" s="59">
        <f ca="1">AVERAGE(OFFSET($GY$3,0,0,'Données projet'!$E$18+1,1))-AVERAGE(OFFSET($H$3,0,0,'Données projet'!$E$18+1,1))</f>
        <v>43.147469606759159</v>
      </c>
      <c r="HA125" s="59">
        <f t="shared" si="106"/>
        <v>147.46995307968473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5.8313831107062519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7.8327311887873839E-15</v>
      </c>
      <c r="HJ125" s="22">
        <f t="shared" si="84"/>
        <v>5.8313831107062599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2.8421709430404007E-14</v>
      </c>
      <c r="O126" s="13">
        <f>N126*VLOOKUP('Données projet'!$B$9,Paramètres!$A$1:$I$89,3,0)*VLOOKUP('Données projet'!$B$9,Paramètres!$A$1:$I$89,5,0)</f>
        <v>2.5715962692629544E-14</v>
      </c>
      <c r="P126" s="13">
        <f t="shared" si="87"/>
        <v>4.5248818890525812E-13</v>
      </c>
      <c r="Q126" s="20">
        <f t="shared" si="107"/>
        <v>8.3287223069965432E-13</v>
      </c>
      <c r="R126" s="59">
        <f t="shared" si="55"/>
        <v>293.33333333333417</v>
      </c>
      <c r="S126" s="59">
        <f ca="1">AVERAGE(OFFSET($R$3,0,0,'Données projet'!$E$9+1,1))-AVERAGE(OFFSET($H$3,0,0,'Données projet'!$E$9+1,1))</f>
        <v>138.8931001150624</v>
      </c>
      <c r="T126" s="59">
        <f t="shared" si="88"/>
        <v>48.964659354096625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-7.4487616075202836E-14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191.94797389630673</v>
      </c>
      <c r="AO126" s="59">
        <f t="shared" si="90"/>
        <v>273.52540822767878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1.0660745711339252</v>
      </c>
      <c r="AW126" s="21">
        <f>EXP(-LN(2)/2)*AW125+(1-EXP(-LN(2)/2))/(LN(2)/2)*AQ126*AT126*VLOOKUP('Données projet'!$B$10,Paramètres!$A$1:$I$89,3,0)*0.475*44/12</f>
        <v>2.3315810629464332E-13</v>
      </c>
      <c r="AX126" s="21">
        <f t="shared" si="60"/>
        <v>1.4742437221054974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3.5470293369144201E-14</v>
      </c>
      <c r="BF126" s="13">
        <f t="shared" si="91"/>
        <v>6.0119115841663204E-13</v>
      </c>
      <c r="BG126" s="20">
        <f t="shared" si="61"/>
        <v>1.1088520285268936E-12</v>
      </c>
      <c r="BH126" s="59">
        <f t="shared" si="62"/>
        <v>293.33333333333445</v>
      </c>
      <c r="BI126" s="59">
        <f ca="1">AVERAGE(OFFSET($BH$3,0,0,'Données projet'!$E$11+1,1))-AVERAGE(OFFSET($H$3,0,0,'Données projet'!$E$11+1,1))</f>
        <v>162.91481796710048</v>
      </c>
      <c r="BJ126" s="59">
        <f t="shared" si="92"/>
        <v>182.56192390367823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0.44093291627811532</v>
      </c>
      <c r="BQ126" s="21">
        <f>EXP(-LN(2)/25)*BQ125+(1-EXP(-LN(2)/25))/(LN(2)/25)*Calculateur!BL126*Calculateur!BN126*VLOOKUP('Données projet'!$B$11,Paramètres!$A$1:$I$89,3,0)*0.475*44/12</f>
        <v>1.1594497041913385</v>
      </c>
      <c r="BR126" s="21">
        <f>EXP(-LN(2)/2)*BR125+(1-EXP(-LN(2)/2))/(LN(2)/2)*BL126*BO126*VLOOKUP('Données projet'!$B$11,Paramètres!$A$1:$I$89,3,0)*0.475*44/12</f>
        <v>1.8057033371594478E-13</v>
      </c>
      <c r="BS126" s="22">
        <f t="shared" si="63"/>
        <v>1.6003826204696343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-5.3205440053716299E-14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123.60520571614535</v>
      </c>
      <c r="CE126" s="59">
        <f t="shared" si="94"/>
        <v>119.00926870519527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0.13749626875904636</v>
      </c>
      <c r="CL126" s="21">
        <f>EXP(-LN(2)/25)*CL125+(1-EXP(-LN(2)/25))/(LN(2)/25)*Calculateur!CG126*Calculateur!CI126*VLOOKUP('Données projet'!$B$12,Paramètres!$A$1:$I$89,3,0)*0.475*44/12</f>
        <v>0.36249471089768864</v>
      </c>
      <c r="CM126" s="21">
        <f>EXP(-LN(2)/2)*CM125+(1-EXP(-LN(2)/2))/(LN(2)/2)*CG126*CJ126*VLOOKUP('Données projet'!$B$12,Paramètres!$A$1:$I$89,3,0)*0.475*44/12</f>
        <v>6.1434180714397334E-14</v>
      </c>
      <c r="CN126" s="22">
        <f t="shared" si="66"/>
        <v>0.49999097965679645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2.9706370696658272E-14</v>
      </c>
      <c r="CV126" s="13">
        <f t="shared" si="95"/>
        <v>5.1399863782592153E-13</v>
      </c>
      <c r="CW126" s="20">
        <f t="shared" si="67"/>
        <v>9.4695288984349312E-13</v>
      </c>
      <c r="CX126" s="59">
        <f t="shared" si="68"/>
        <v>293.33333333333428</v>
      </c>
      <c r="CY126" s="59">
        <f ca="1">AVERAGE(OFFSET($CX$3,0,0,'Données projet'!$E$13+1,1))-AVERAGE(OFFSET($H$3,0,0,'Données projet'!$E$13+1,1))</f>
        <v>177.94336949486529</v>
      </c>
      <c r="CZ126" s="59">
        <f t="shared" si="96"/>
        <v>65.559373432574603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3.3992364478763198E-14</v>
      </c>
      <c r="DQ126" s="13">
        <f t="shared" si="97"/>
        <v>5.790027782444094E-13</v>
      </c>
      <c r="DR126" s="20">
        <f t="shared" si="70"/>
        <v>1.0676332069095257E-12</v>
      </c>
      <c r="DS126" s="59">
        <f t="shared" si="71"/>
        <v>293.33333333333439</v>
      </c>
      <c r="DT126" s="59">
        <f ca="1">AVERAGE(OFFSET($DS$3,0,0,'Données projet'!$E$14+1,1))-AVERAGE(OFFSET($H$3,0,0,'Données projet'!$E$14+1,1))</f>
        <v>165.39579887388538</v>
      </c>
      <c r="DU126" s="59">
        <f t="shared" si="98"/>
        <v>155.89639262545802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0.55316026147745878</v>
      </c>
      <c r="EC126" s="21">
        <f>EXP(-LN(2)/2)*EC125+(1-EXP(-LN(2)/2))/(LN(2)/2)*DW126*DZ126*VLOOKUP('Données projet'!$B$14,Paramètres!$A$1:$I$89,3,0)*0.475*44/12</f>
        <v>1.3947481238001061E-13</v>
      </c>
      <c r="ED126" s="22">
        <f t="shared" si="72"/>
        <v>0.55316026147759823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-1.1368683772161603E-12</v>
      </c>
      <c r="EK126" s="17">
        <f>EJ126*VLOOKUP('Données projet'!$B$15,Paramètres!$A$1:$I$89,3,0)*VLOOKUP('Données projet'!$B$15,Paramètres!$A$1:$I$89,5,0)</f>
        <v>-5.4683368944097316E-13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252.30925789500111</v>
      </c>
      <c r="EP126" s="59">
        <f t="shared" si="100"/>
        <v>213.96033794804805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0.73439608116708499</v>
      </c>
      <c r="EW126" s="21">
        <f>EXP(-LN(2)/25)*EW125+(1-EXP(-LN(2)/25))/(LN(2)/25)*Calculateur!ER126*Calculateur!ET126*VLOOKUP('Données projet'!$B$15,Paramètres!$A$1:$I$89,3,0)*0.475*44/12</f>
        <v>0.70031770678956096</v>
      </c>
      <c r="EX126" s="21">
        <f>EXP(-LN(2)/2)*EX125+(1-EXP(-LN(2)/2))/(LN(2)/2)*ER126*EU126*VLOOKUP('Données projet'!$B$15,Paramètres!$A$1:$I$89,3,0)*0.475*44/12</f>
        <v>1.4447401562332389E-13</v>
      </c>
      <c r="EY126" s="22">
        <f t="shared" si="75"/>
        <v>1.4347137879567906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-1.1368683772161603E-12</v>
      </c>
      <c r="FF126" s="17">
        <f>FE126*VLOOKUP('Données projet'!$B$16,Paramètres!$A$1:$I$89,3,0)*VLOOKUP('Données projet'!$B$16,Paramètres!$A$1:$I$89,5,0)</f>
        <v>-5.4683368944097316E-13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252.30925789500111</v>
      </c>
      <c r="FK126" s="59">
        <f t="shared" si="102"/>
        <v>213.96033794804805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0.73439608116708499</v>
      </c>
      <c r="FR126" s="21">
        <f>EXP(-LN(2)/25)*FR125+(1-EXP(-LN(2)/25))/(LN(2)/25)*Calculateur!FM126*Calculateur!FO126*VLOOKUP('Données projet'!$B$16,Paramètres!$A$1:$I$89,3,0)*0.475*44/12</f>
        <v>0.70031770678956096</v>
      </c>
      <c r="FS126" s="21">
        <f>EXP(-LN(2)/2)*FS125+(1-EXP(-LN(2)/2))/(LN(2)/2)*FM126*FP126*VLOOKUP('Données projet'!$B$16,Paramètres!$A$1:$I$89,3,0)*0.475*44/12</f>
        <v>1.4447401562332389E-13</v>
      </c>
      <c r="FT126" s="22">
        <f t="shared" si="78"/>
        <v>1.4347137879567906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117.54638373164624</v>
      </c>
      <c r="GF126" s="59">
        <f t="shared" si="104"/>
        <v>133.0740262536583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0.35072284714697721</v>
      </c>
      <c r="GM126" s="21">
        <f>EXP(-LN(2)/25)*GM125+(1-EXP(-LN(2)/25))/(LN(2)/25)*Calculateur!GH126*Calculateur!GJ126*VLOOKUP('Données projet'!$B$17,Paramètres!$A$1:$I$89,3,0)*0.475*44/12</f>
        <v>0.65684825822296511</v>
      </c>
      <c r="GN126" s="21">
        <f>EXP(-LN(2)/2)*GN125+(1-EXP(-LN(2)/2))/(LN(2)/2)*GH126*GK126*VLOOKUP('Données projet'!$B$17,Paramètres!$A$1:$I$89,3,0)*0.475*44/12</f>
        <v>4.0651805071734794E-14</v>
      </c>
      <c r="GO126" s="21">
        <f t="shared" si="81"/>
        <v>1.007571105369983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2.8421709430404007E-14</v>
      </c>
      <c r="GV126" s="17">
        <f>GU126*VLOOKUP('Données projet'!$B$18,Paramètres!$A$1:$I$89,3,0)*VLOOKUP('Données projet'!$B$18,Paramètres!$A$1:$I$89,5,0)</f>
        <v>1.3567387213697657E-14</v>
      </c>
      <c r="GW126" s="13">
        <f t="shared" si="105"/>
        <v>2.5717320947985821E-13</v>
      </c>
      <c r="GX126" s="20">
        <f t="shared" si="82"/>
        <v>4.7153987257460977E-13</v>
      </c>
      <c r="GY126" s="59">
        <f t="shared" si="83"/>
        <v>293.33333333333377</v>
      </c>
      <c r="GZ126" s="59">
        <f ca="1">AVERAGE(OFFSET($GY$3,0,0,'Données projet'!$E$18+1,1))-AVERAGE(OFFSET($H$3,0,0,'Données projet'!$E$18+1,1))</f>
        <v>43.147469606759159</v>
      </c>
      <c r="HA126" s="59">
        <f t="shared" si="106"/>
        <v>147.46995307968473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5.7170332446977961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5.5385773388029271E-15</v>
      </c>
      <c r="HJ126" s="22">
        <f t="shared" si="84"/>
        <v>5.7170332446978014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2.8421709430404007E-14</v>
      </c>
      <c r="O127" s="13">
        <f>N127*VLOOKUP('Données projet'!$B$9,Paramètres!$A$1:$I$89,3,0)*VLOOKUP('Données projet'!$B$9,Paramètres!$A$1:$I$89,5,0)</f>
        <v>2.5715962692629544E-14</v>
      </c>
      <c r="P127" s="13">
        <f t="shared" si="87"/>
        <v>4.5248818890525812E-13</v>
      </c>
      <c r="Q127" s="20">
        <f t="shared" si="107"/>
        <v>8.3287223069965432E-13</v>
      </c>
      <c r="R127" s="59">
        <f t="shared" si="55"/>
        <v>293.33333333333417</v>
      </c>
      <c r="S127" s="59">
        <f ca="1">AVERAGE(OFFSET($R$3,0,0,'Données projet'!$E$9+1,1))-AVERAGE(OFFSET($H$3,0,0,'Données projet'!$E$9+1,1))</f>
        <v>138.8931001150624</v>
      </c>
      <c r="T127" s="59">
        <f t="shared" si="88"/>
        <v>48.964659354096625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-7.4487616075202836E-14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191.94797389630673</v>
      </c>
      <c r="AO127" s="59">
        <f t="shared" si="90"/>
        <v>273.52540822767878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1.0369227059238428</v>
      </c>
      <c r="AW127" s="21">
        <f>EXP(-LN(2)/2)*AW126+(1-EXP(-LN(2)/2))/(LN(2)/2)*AQ127*AT127*VLOOKUP('Données projet'!$B$10,Paramètres!$A$1:$I$89,3,0)*0.475*44/12</f>
        <v>1.6486767804955615E-13</v>
      </c>
      <c r="AX127" s="21">
        <f t="shared" si="60"/>
        <v>1.4370879088033981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3.5470293369144201E-14</v>
      </c>
      <c r="BF127" s="13">
        <f t="shared" si="91"/>
        <v>6.0119115841663204E-13</v>
      </c>
      <c r="BG127" s="20">
        <f t="shared" si="61"/>
        <v>1.1088520285268936E-12</v>
      </c>
      <c r="BH127" s="59">
        <f t="shared" si="62"/>
        <v>293.33333333333445</v>
      </c>
      <c r="BI127" s="59">
        <f ca="1">AVERAGE(OFFSET($BH$3,0,0,'Données projet'!$E$11+1,1))-AVERAGE(OFFSET($H$3,0,0,'Données projet'!$E$11+1,1))</f>
        <v>162.91481796710048</v>
      </c>
      <c r="BJ127" s="59">
        <f t="shared" si="92"/>
        <v>182.56192390367823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0.43228649073242453</v>
      </c>
      <c r="BQ127" s="21">
        <f>EXP(-LN(2)/25)*BQ126+(1-EXP(-LN(2)/25))/(LN(2)/25)*Calculateur!BL127*Calculateur!BN127*VLOOKUP('Données projet'!$B$11,Paramètres!$A$1:$I$89,3,0)*0.475*44/12</f>
        <v>1.1277444910574164</v>
      </c>
      <c r="BR127" s="21">
        <f>EXP(-LN(2)/2)*BR126+(1-EXP(-LN(2)/2))/(LN(2)/2)*BL127*BO127*VLOOKUP('Données projet'!$B$11,Paramètres!$A$1:$I$89,3,0)*0.475*44/12</f>
        <v>1.2768250745166243E-13</v>
      </c>
      <c r="BS127" s="22">
        <f t="shared" si="63"/>
        <v>1.5600309817899685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-5.3205440053716299E-14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123.60520571614535</v>
      </c>
      <c r="CE127" s="59">
        <f t="shared" si="94"/>
        <v>119.00926870519527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0.13480005079312449</v>
      </c>
      <c r="CL127" s="21">
        <f>EXP(-LN(2)/25)*CL126+(1-EXP(-LN(2)/25))/(LN(2)/25)*Calculateur!CG127*Calculateur!CI127*VLOOKUP('Données projet'!$B$12,Paramètres!$A$1:$I$89,3,0)*0.475*44/12</f>
        <v>0.35258227396542302</v>
      </c>
      <c r="CM127" s="21">
        <f>EXP(-LN(2)/2)*CM126+(1-EXP(-LN(2)/2))/(LN(2)/2)*CG127*CJ127*VLOOKUP('Données projet'!$B$12,Paramètres!$A$1:$I$89,3,0)*0.475*44/12</f>
        <v>4.3440525779790175E-14</v>
      </c>
      <c r="CN127" s="22">
        <f t="shared" si="66"/>
        <v>0.48738232475859095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2.9706370696658272E-14</v>
      </c>
      <c r="CV127" s="13">
        <f t="shared" si="95"/>
        <v>5.1399863782592153E-13</v>
      </c>
      <c r="CW127" s="20">
        <f t="shared" si="67"/>
        <v>9.4695288984349312E-13</v>
      </c>
      <c r="CX127" s="59">
        <f t="shared" si="68"/>
        <v>293.33333333333428</v>
      </c>
      <c r="CY127" s="59">
        <f ca="1">AVERAGE(OFFSET($CX$3,0,0,'Données projet'!$E$13+1,1))-AVERAGE(OFFSET($H$3,0,0,'Données projet'!$E$13+1,1))</f>
        <v>177.94336949486529</v>
      </c>
      <c r="CZ127" s="59">
        <f t="shared" si="96"/>
        <v>65.559373432574603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3.3992364478763198E-14</v>
      </c>
      <c r="DQ127" s="13">
        <f t="shared" si="97"/>
        <v>5.790027782444094E-13</v>
      </c>
      <c r="DR127" s="20">
        <f t="shared" si="70"/>
        <v>1.0676332069095257E-12</v>
      </c>
      <c r="DS127" s="59">
        <f t="shared" si="71"/>
        <v>293.33333333333439</v>
      </c>
      <c r="DT127" s="59">
        <f ca="1">AVERAGE(OFFSET($DS$3,0,0,'Données projet'!$E$14+1,1))-AVERAGE(OFFSET($H$3,0,0,'Données projet'!$E$14+1,1))</f>
        <v>165.39579887388538</v>
      </c>
      <c r="DU127" s="59">
        <f t="shared" si="98"/>
        <v>155.89639262545802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0.53803406503792384</v>
      </c>
      <c r="EC127" s="21">
        <f>EXP(-LN(2)/2)*EC126+(1-EXP(-LN(2)/2))/(LN(2)/2)*DW127*DZ127*VLOOKUP('Données projet'!$B$14,Paramètres!$A$1:$I$89,3,0)*0.475*44/12</f>
        <v>9.8623585638626932E-14</v>
      </c>
      <c r="ED127" s="22">
        <f t="shared" si="72"/>
        <v>0.53803406503802242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-1.1368683772161603E-12</v>
      </c>
      <c r="EK127" s="17">
        <f>EJ127*VLOOKUP('Données projet'!$B$15,Paramètres!$A$1:$I$89,3,0)*VLOOKUP('Données projet'!$B$15,Paramètres!$A$1:$I$89,5,0)</f>
        <v>-5.4683368944097316E-13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252.30925789500111</v>
      </c>
      <c r="EP127" s="59">
        <f t="shared" si="100"/>
        <v>213.96033794804805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0.71999502195277787</v>
      </c>
      <c r="EW127" s="21">
        <f>EXP(-LN(2)/25)*EW126+(1-EXP(-LN(2)/25))/(LN(2)/25)*Calculateur!ER127*Calculateur!ET127*VLOOKUP('Données projet'!$B$15,Paramètres!$A$1:$I$89,3,0)*0.475*44/12</f>
        <v>0.6811674822692928</v>
      </c>
      <c r="EX127" s="21">
        <f>EXP(-LN(2)/2)*EX126+(1-EXP(-LN(2)/2))/(LN(2)/2)*ER127*EU127*VLOOKUP('Données projet'!$B$15,Paramètres!$A$1:$I$89,3,0)*0.475*44/12</f>
        <v>1.0215855615250354E-13</v>
      </c>
      <c r="EY127" s="22">
        <f t="shared" si="75"/>
        <v>1.4011625042221727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-1.1368683772161603E-12</v>
      </c>
      <c r="FF127" s="17">
        <f>FE127*VLOOKUP('Données projet'!$B$16,Paramètres!$A$1:$I$89,3,0)*VLOOKUP('Données projet'!$B$16,Paramètres!$A$1:$I$89,5,0)</f>
        <v>-5.4683368944097316E-13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252.30925789500111</v>
      </c>
      <c r="FK127" s="59">
        <f t="shared" si="102"/>
        <v>213.96033794804805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0.71999502195277787</v>
      </c>
      <c r="FR127" s="21">
        <f>EXP(-LN(2)/25)*FR126+(1-EXP(-LN(2)/25))/(LN(2)/25)*Calculateur!FM127*Calculateur!FO127*VLOOKUP('Données projet'!$B$16,Paramètres!$A$1:$I$89,3,0)*0.475*44/12</f>
        <v>0.6811674822692928</v>
      </c>
      <c r="FS127" s="21">
        <f>EXP(-LN(2)/2)*FS126+(1-EXP(-LN(2)/2))/(LN(2)/2)*FM127*FP127*VLOOKUP('Données projet'!$B$16,Paramètres!$A$1:$I$89,3,0)*0.475*44/12</f>
        <v>1.0215855615250354E-13</v>
      </c>
      <c r="FT127" s="22">
        <f t="shared" si="78"/>
        <v>1.4011625042221727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117.54638373164624</v>
      </c>
      <c r="GF127" s="59">
        <f t="shared" si="104"/>
        <v>133.0740262536583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0.34384538603423892</v>
      </c>
      <c r="GM127" s="21">
        <f>EXP(-LN(2)/25)*GM126+(1-EXP(-LN(2)/25))/(LN(2)/25)*Calculateur!GH127*Calculateur!GJ127*VLOOKUP('Données projet'!$B$17,Paramètres!$A$1:$I$89,3,0)*0.475*44/12</f>
        <v>0.63888670805970948</v>
      </c>
      <c r="GN127" s="21">
        <f>EXP(-LN(2)/2)*GN126+(1-EXP(-LN(2)/2))/(LN(2)/2)*GH127*GK127*VLOOKUP('Données projet'!$B$17,Paramètres!$A$1:$I$89,3,0)*0.475*44/12</f>
        <v>2.8745167033697358E-14</v>
      </c>
      <c r="GO127" s="21">
        <f t="shared" si="81"/>
        <v>0.9827320940939771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2.8421709430404007E-14</v>
      </c>
      <c r="GV127" s="17">
        <f>GU127*VLOOKUP('Données projet'!$B$18,Paramètres!$A$1:$I$89,3,0)*VLOOKUP('Données projet'!$B$18,Paramètres!$A$1:$I$89,5,0)</f>
        <v>1.3567387213697657E-14</v>
      </c>
      <c r="GW127" s="13">
        <f t="shared" si="105"/>
        <v>2.5717320947985821E-13</v>
      </c>
      <c r="GX127" s="20">
        <f t="shared" si="82"/>
        <v>4.7153987257460977E-13</v>
      </c>
      <c r="GY127" s="59">
        <f t="shared" si="83"/>
        <v>293.33333333333377</v>
      </c>
      <c r="GZ127" s="59">
        <f ca="1">AVERAGE(OFFSET($GY$3,0,0,'Données projet'!$E$18+1,1))-AVERAGE(OFFSET($H$3,0,0,'Données projet'!$E$18+1,1))</f>
        <v>43.147469606759159</v>
      </c>
      <c r="HA127" s="59">
        <f t="shared" si="106"/>
        <v>147.46995307968473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5.6049257098152347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3.9163655943936919E-15</v>
      </c>
      <c r="HJ127" s="22">
        <f t="shared" si="84"/>
        <v>5.6049257098152383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2.8421709430404007E-14</v>
      </c>
      <c r="O128" s="13">
        <f>N128*VLOOKUP('Données projet'!$B$9,Paramètres!$A$1:$I$89,3,0)*VLOOKUP('Données projet'!$B$9,Paramètres!$A$1:$I$89,5,0)</f>
        <v>2.5715962692629544E-14</v>
      </c>
      <c r="P128" s="13">
        <f t="shared" si="87"/>
        <v>4.5248818890525812E-13</v>
      </c>
      <c r="Q128" s="20">
        <f t="shared" si="107"/>
        <v>8.3287223069965432E-13</v>
      </c>
      <c r="R128" s="59">
        <f t="shared" si="55"/>
        <v>293.33333333333417</v>
      </c>
      <c r="S128" s="59">
        <f ca="1">AVERAGE(OFFSET($R$3,0,0,'Données projet'!$E$9+1,1))-AVERAGE(OFFSET($H$3,0,0,'Données projet'!$E$9+1,1))</f>
        <v>138.8931001150624</v>
      </c>
      <c r="T128" s="59">
        <f t="shared" si="88"/>
        <v>48.964659354096625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-7.4487616075202836E-14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191.94797389630673</v>
      </c>
      <c r="AO128" s="59">
        <f t="shared" si="90"/>
        <v>273.52540822767878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1.0085680000009603</v>
      </c>
      <c r="AW128" s="21">
        <f>EXP(-LN(2)/2)*AW127+(1-EXP(-LN(2)/2))/(LN(2)/2)*AQ128*AT128*VLOOKUP('Données projet'!$B$10,Paramètres!$A$1:$I$89,3,0)*0.475*44/12</f>
        <v>1.1657905314732166E-13</v>
      </c>
      <c r="AX128" s="21">
        <f t="shared" si="60"/>
        <v>1.4008862073286756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3.5470293369144201E-14</v>
      </c>
      <c r="BF128" s="13">
        <f t="shared" si="91"/>
        <v>6.0119115841663204E-13</v>
      </c>
      <c r="BG128" s="20">
        <f t="shared" si="61"/>
        <v>1.1088520285268936E-12</v>
      </c>
      <c r="BH128" s="59">
        <f t="shared" si="62"/>
        <v>293.33333333333445</v>
      </c>
      <c r="BI128" s="59">
        <f ca="1">AVERAGE(OFFSET($BH$3,0,0,'Données projet'!$E$11+1,1))-AVERAGE(OFFSET($H$3,0,0,'Données projet'!$E$11+1,1))</f>
        <v>162.91481796710048</v>
      </c>
      <c r="BJ128" s="59">
        <f t="shared" si="92"/>
        <v>182.56192390367823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0.42380961631788588</v>
      </c>
      <c r="BQ128" s="21">
        <f>EXP(-LN(2)/25)*BQ127+(1-EXP(-LN(2)/25))/(LN(2)/25)*Calculateur!BL128*Calculateur!BN128*VLOOKUP('Données projet'!$B$11,Paramètres!$A$1:$I$89,3,0)*0.475*44/12</f>
        <v>1.096906258643946</v>
      </c>
      <c r="BR128" s="21">
        <f>EXP(-LN(2)/2)*BR127+(1-EXP(-LN(2)/2))/(LN(2)/2)*BL128*BO128*VLOOKUP('Données projet'!$B$11,Paramètres!$A$1:$I$89,3,0)*0.475*44/12</f>
        <v>9.028516685797239E-14</v>
      </c>
      <c r="BS128" s="22">
        <f t="shared" si="63"/>
        <v>1.5207158749619223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-5.3205440053716299E-14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123.60520571614535</v>
      </c>
      <c r="CE128" s="59">
        <f t="shared" si="94"/>
        <v>119.00926870519527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0.13215670401698376</v>
      </c>
      <c r="CL128" s="21">
        <f>EXP(-LN(2)/25)*CL127+(1-EXP(-LN(2)/25))/(LN(2)/25)*Calculateur!CG128*Calculateur!CI128*VLOOKUP('Données projet'!$B$12,Paramètres!$A$1:$I$89,3,0)*0.475*44/12</f>
        <v>0.34294089314234255</v>
      </c>
      <c r="CM128" s="21">
        <f>EXP(-LN(2)/2)*CM127+(1-EXP(-LN(2)/2))/(LN(2)/2)*CG128*CJ128*VLOOKUP('Données projet'!$B$12,Paramètres!$A$1:$I$89,3,0)*0.475*44/12</f>
        <v>3.0717090357198667E-14</v>
      </c>
      <c r="CN128" s="22">
        <f t="shared" si="66"/>
        <v>0.47509759715935701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2.9706370696658272E-14</v>
      </c>
      <c r="CV128" s="13">
        <f t="shared" si="95"/>
        <v>5.1399863782592153E-13</v>
      </c>
      <c r="CW128" s="20">
        <f t="shared" si="67"/>
        <v>9.4695288984349312E-13</v>
      </c>
      <c r="CX128" s="59">
        <f t="shared" si="68"/>
        <v>293.33333333333428</v>
      </c>
      <c r="CY128" s="59">
        <f ca="1">AVERAGE(OFFSET($CX$3,0,0,'Données projet'!$E$13+1,1))-AVERAGE(OFFSET($H$3,0,0,'Données projet'!$E$13+1,1))</f>
        <v>177.94336949486529</v>
      </c>
      <c r="CZ128" s="59">
        <f t="shared" si="96"/>
        <v>65.559373432574603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3.3992364478763198E-14</v>
      </c>
      <c r="DQ128" s="13">
        <f t="shared" si="97"/>
        <v>5.790027782444094E-13</v>
      </c>
      <c r="DR128" s="20">
        <f t="shared" si="70"/>
        <v>1.0676332069095257E-12</v>
      </c>
      <c r="DS128" s="59">
        <f t="shared" si="71"/>
        <v>293.33333333333439</v>
      </c>
      <c r="DT128" s="59">
        <f ca="1">AVERAGE(OFFSET($DS$3,0,0,'Données projet'!$E$14+1,1))-AVERAGE(OFFSET($H$3,0,0,'Données projet'!$E$14+1,1))</f>
        <v>165.39579887388538</v>
      </c>
      <c r="DU128" s="59">
        <f t="shared" si="98"/>
        <v>155.89639262545802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0.52332149523547999</v>
      </c>
      <c r="EC128" s="21">
        <f>EXP(-LN(2)/2)*EC127+(1-EXP(-LN(2)/2))/(LN(2)/2)*DW128*DZ128*VLOOKUP('Données projet'!$B$14,Paramètres!$A$1:$I$89,3,0)*0.475*44/12</f>
        <v>6.9737406190005304E-14</v>
      </c>
      <c r="ED128" s="22">
        <f t="shared" si="72"/>
        <v>0.52332149523554972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-1.1368683772161603E-12</v>
      </c>
      <c r="EK128" s="17">
        <f>EJ128*VLOOKUP('Données projet'!$B$15,Paramètres!$A$1:$I$89,3,0)*VLOOKUP('Données projet'!$B$15,Paramètres!$A$1:$I$89,5,0)</f>
        <v>-5.4683368944097316E-13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252.30925789500111</v>
      </c>
      <c r="EP128" s="59">
        <f t="shared" si="100"/>
        <v>213.96033794804805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0.7058763587258845</v>
      </c>
      <c r="EW128" s="21">
        <f>EXP(-LN(2)/25)*EW127+(1-EXP(-LN(2)/25))/(LN(2)/25)*Calculateur!ER128*Calculateur!ET128*VLOOKUP('Données projet'!$B$15,Paramètres!$A$1:$I$89,3,0)*0.475*44/12</f>
        <v>0.66254092164559797</v>
      </c>
      <c r="EX128" s="21">
        <f>EXP(-LN(2)/2)*EX127+(1-EXP(-LN(2)/2))/(LN(2)/2)*ER128*EU128*VLOOKUP('Données projet'!$B$15,Paramètres!$A$1:$I$89,3,0)*0.475*44/12</f>
        <v>7.2237007811661944E-14</v>
      </c>
      <c r="EY128" s="22">
        <f t="shared" si="75"/>
        <v>1.3684172803715546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-1.1368683772161603E-12</v>
      </c>
      <c r="FF128" s="17">
        <f>FE128*VLOOKUP('Données projet'!$B$16,Paramètres!$A$1:$I$89,3,0)*VLOOKUP('Données projet'!$B$16,Paramètres!$A$1:$I$89,5,0)</f>
        <v>-5.4683368944097316E-13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252.30925789500111</v>
      </c>
      <c r="FK128" s="59">
        <f t="shared" si="102"/>
        <v>213.96033794804805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0.7058763587258845</v>
      </c>
      <c r="FR128" s="21">
        <f>EXP(-LN(2)/25)*FR127+(1-EXP(-LN(2)/25))/(LN(2)/25)*Calculateur!FM128*Calculateur!FO128*VLOOKUP('Données projet'!$B$16,Paramètres!$A$1:$I$89,3,0)*0.475*44/12</f>
        <v>0.66254092164559797</v>
      </c>
      <c r="FS128" s="21">
        <f>EXP(-LN(2)/2)*FS127+(1-EXP(-LN(2)/2))/(LN(2)/2)*FM128*FP128*VLOOKUP('Données projet'!$B$16,Paramètres!$A$1:$I$89,3,0)*0.475*44/12</f>
        <v>7.2237007811661944E-14</v>
      </c>
      <c r="FT128" s="22">
        <f t="shared" si="78"/>
        <v>1.3684172803715546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117.54638373164624</v>
      </c>
      <c r="GF128" s="59">
        <f t="shared" si="104"/>
        <v>133.0740262536583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0.33710278773908436</v>
      </c>
      <c r="GM128" s="21">
        <f>EXP(-LN(2)/25)*GM127+(1-EXP(-LN(2)/25))/(LN(2)/25)*Calculateur!GH128*Calculateur!GJ128*VLOOKUP('Données projet'!$B$17,Paramètres!$A$1:$I$89,3,0)*0.475*44/12</f>
        <v>0.62141631743022496</v>
      </c>
      <c r="GN128" s="21">
        <f>EXP(-LN(2)/2)*GN127+(1-EXP(-LN(2)/2))/(LN(2)/2)*GH128*GK128*VLOOKUP('Données projet'!$B$17,Paramètres!$A$1:$I$89,3,0)*0.475*44/12</f>
        <v>2.0325902535867397E-14</v>
      </c>
      <c r="GO128" s="21">
        <f t="shared" si="81"/>
        <v>0.9585191051693297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2.8421709430404007E-14</v>
      </c>
      <c r="GV128" s="17">
        <f>GU128*VLOOKUP('Données projet'!$B$18,Paramètres!$A$1:$I$89,3,0)*VLOOKUP('Données projet'!$B$18,Paramètres!$A$1:$I$89,5,0)</f>
        <v>1.3567387213697657E-14</v>
      </c>
      <c r="GW128" s="13">
        <f t="shared" si="105"/>
        <v>2.5717320947985821E-13</v>
      </c>
      <c r="GX128" s="20">
        <f t="shared" si="82"/>
        <v>4.7153987257460977E-13</v>
      </c>
      <c r="GY128" s="59">
        <f t="shared" si="83"/>
        <v>293.33333333333377</v>
      </c>
      <c r="GZ128" s="59">
        <f ca="1">AVERAGE(OFFSET($GY$3,0,0,'Données projet'!$E$18+1,1))-AVERAGE(OFFSET($H$3,0,0,'Données projet'!$E$18+1,1))</f>
        <v>43.147469606759159</v>
      </c>
      <c r="HA128" s="59">
        <f t="shared" si="106"/>
        <v>147.46995307968473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5.4950165353128755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2.7692886694014635E-15</v>
      </c>
      <c r="HJ128" s="22">
        <f t="shared" si="84"/>
        <v>5.4950165353128781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2.8421709430404007E-14</v>
      </c>
      <c r="O129" s="13">
        <f>N129*VLOOKUP('Données projet'!$B$9,Paramètres!$A$1:$I$89,3,0)*VLOOKUP('Données projet'!$B$9,Paramètres!$A$1:$I$89,5,0)</f>
        <v>2.5715962692629544E-14</v>
      </c>
      <c r="P129" s="13">
        <f t="shared" si="87"/>
        <v>4.5248818890525812E-13</v>
      </c>
      <c r="Q129" s="20">
        <f t="shared" si="107"/>
        <v>8.3287223069965432E-13</v>
      </c>
      <c r="R129" s="59">
        <f t="shared" si="55"/>
        <v>293.33333333333417</v>
      </c>
      <c r="S129" s="59">
        <f ca="1">AVERAGE(OFFSET($R$3,0,0,'Données projet'!$E$9+1,1))-AVERAGE(OFFSET($H$3,0,0,'Données projet'!$E$9+1,1))</f>
        <v>138.8931001150624</v>
      </c>
      <c r="T129" s="59">
        <f t="shared" si="88"/>
        <v>48.964659354096625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-7.4487616075202836E-14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191.94797389630673</v>
      </c>
      <c r="AO129" s="59">
        <f t="shared" si="90"/>
        <v>273.52540822767878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0.98098865500264798</v>
      </c>
      <c r="AW129" s="21">
        <f>EXP(-LN(2)/2)*AW128+(1-EXP(-LN(2)/2))/(LN(2)/2)*AQ129*AT129*VLOOKUP('Données projet'!$B$10,Paramètres!$A$1:$I$89,3,0)*0.475*44/12</f>
        <v>8.2433839024778075E-14</v>
      </c>
      <c r="AX129" s="21">
        <f t="shared" si="60"/>
        <v>1.3656137415751135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3.5470293369144201E-14</v>
      </c>
      <c r="BF129" s="13">
        <f t="shared" si="91"/>
        <v>6.0119115841663204E-13</v>
      </c>
      <c r="BG129" s="20">
        <f t="shared" si="61"/>
        <v>1.1088520285268936E-12</v>
      </c>
      <c r="BH129" s="59">
        <f t="shared" si="62"/>
        <v>293.33333333333445</v>
      </c>
      <c r="BI129" s="59">
        <f ca="1">AVERAGE(OFFSET($BH$3,0,0,'Données projet'!$E$11+1,1))-AVERAGE(OFFSET($H$3,0,0,'Données projet'!$E$11+1,1))</f>
        <v>162.91481796710048</v>
      </c>
      <c r="BJ129" s="59">
        <f t="shared" si="92"/>
        <v>182.56192390367823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0.41549896824023352</v>
      </c>
      <c r="BQ129" s="21">
        <f>EXP(-LN(2)/25)*BQ128+(1-EXP(-LN(2)/25))/(LN(2)/25)*Calculateur!BL129*Calculateur!BN129*VLOOKUP('Données projet'!$B$11,Paramètres!$A$1:$I$89,3,0)*0.475*44/12</f>
        <v>1.066911299317534</v>
      </c>
      <c r="BR129" s="21">
        <f>EXP(-LN(2)/2)*BR128+(1-EXP(-LN(2)/2))/(LN(2)/2)*BL129*BO129*VLOOKUP('Données projet'!$B$11,Paramètres!$A$1:$I$89,3,0)*0.475*44/12</f>
        <v>6.3841253725831213E-14</v>
      </c>
      <c r="BS129" s="22">
        <f t="shared" si="63"/>
        <v>1.4824102675578315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-5.3205440053716299E-14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123.60520571614535</v>
      </c>
      <c r="CE129" s="59">
        <f t="shared" si="94"/>
        <v>119.00926870519527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0.12956519165884081</v>
      </c>
      <c r="CL129" s="21">
        <f>EXP(-LN(2)/25)*CL128+(1-EXP(-LN(2)/25))/(LN(2)/25)*Calculateur!CG129*Calculateur!CI129*VLOOKUP('Données projet'!$B$12,Paramètres!$A$1:$I$89,3,0)*0.475*44/12</f>
        <v>0.33356315638488743</v>
      </c>
      <c r="CM129" s="21">
        <f>EXP(-LN(2)/2)*CM128+(1-EXP(-LN(2)/2))/(LN(2)/2)*CG129*CJ129*VLOOKUP('Données projet'!$B$12,Paramètres!$A$1:$I$89,3,0)*0.475*44/12</f>
        <v>2.1720262889895087E-14</v>
      </c>
      <c r="CN129" s="22">
        <f t="shared" si="66"/>
        <v>0.46312834804374997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2.9706370696658272E-14</v>
      </c>
      <c r="CV129" s="13">
        <f t="shared" si="95"/>
        <v>5.1399863782592153E-13</v>
      </c>
      <c r="CW129" s="20">
        <f t="shared" si="67"/>
        <v>9.4695288984349312E-13</v>
      </c>
      <c r="CX129" s="59">
        <f t="shared" si="68"/>
        <v>293.33333333333428</v>
      </c>
      <c r="CY129" s="59">
        <f ca="1">AVERAGE(OFFSET($CX$3,0,0,'Données projet'!$E$13+1,1))-AVERAGE(OFFSET($H$3,0,0,'Données projet'!$E$13+1,1))</f>
        <v>177.94336949486529</v>
      </c>
      <c r="CZ129" s="59">
        <f t="shared" si="96"/>
        <v>65.559373432574603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3.3992364478763198E-14</v>
      </c>
      <c r="DQ129" s="13">
        <f t="shared" si="97"/>
        <v>5.790027782444094E-13</v>
      </c>
      <c r="DR129" s="20">
        <f t="shared" si="70"/>
        <v>1.0676332069095257E-12</v>
      </c>
      <c r="DS129" s="59">
        <f t="shared" si="71"/>
        <v>293.33333333333439</v>
      </c>
      <c r="DT129" s="59">
        <f ca="1">AVERAGE(OFFSET($DS$3,0,0,'Données projet'!$E$14+1,1))-AVERAGE(OFFSET($H$3,0,0,'Données projet'!$E$14+1,1))</f>
        <v>165.39579887388538</v>
      </c>
      <c r="DU129" s="59">
        <f t="shared" si="98"/>
        <v>155.89639262545802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0.50901124142798437</v>
      </c>
      <c r="EC129" s="21">
        <f>EXP(-LN(2)/2)*EC128+(1-EXP(-LN(2)/2))/(LN(2)/2)*DW129*DZ129*VLOOKUP('Données projet'!$B$14,Paramètres!$A$1:$I$89,3,0)*0.475*44/12</f>
        <v>4.9311792819313466E-14</v>
      </c>
      <c r="ED129" s="22">
        <f t="shared" si="72"/>
        <v>0.50901124142803367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-1.1368683772161603E-12</v>
      </c>
      <c r="EK129" s="17">
        <f>EJ129*VLOOKUP('Données projet'!$B$15,Paramètres!$A$1:$I$89,3,0)*VLOOKUP('Données projet'!$B$15,Paramètres!$A$1:$I$89,5,0)</f>
        <v>-5.4683368944097316E-13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252.30925789500111</v>
      </c>
      <c r="EP129" s="59">
        <f t="shared" si="100"/>
        <v>213.96033794804805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0.69203455387333623</v>
      </c>
      <c r="EW129" s="21">
        <f>EXP(-LN(2)/25)*EW128+(1-EXP(-LN(2)/25))/(LN(2)/25)*Calculateur!ER129*Calculateur!ET129*VLOOKUP('Données projet'!$B$15,Paramètres!$A$1:$I$89,3,0)*0.475*44/12</f>
        <v>0.64442370530168624</v>
      </c>
      <c r="EX129" s="21">
        <f>EXP(-LN(2)/2)*EX128+(1-EXP(-LN(2)/2))/(LN(2)/2)*ER129*EU129*VLOOKUP('Données projet'!$B$15,Paramètres!$A$1:$I$89,3,0)*0.475*44/12</f>
        <v>5.1079278076251768E-14</v>
      </c>
      <c r="EY129" s="22">
        <f t="shared" si="75"/>
        <v>1.3364582591750735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-1.1368683772161603E-12</v>
      </c>
      <c r="FF129" s="17">
        <f>FE129*VLOOKUP('Données projet'!$B$16,Paramètres!$A$1:$I$89,3,0)*VLOOKUP('Données projet'!$B$16,Paramètres!$A$1:$I$89,5,0)</f>
        <v>-5.4683368944097316E-13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252.30925789500111</v>
      </c>
      <c r="FK129" s="59">
        <f t="shared" si="102"/>
        <v>213.96033794804805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0.69203455387333623</v>
      </c>
      <c r="FR129" s="21">
        <f>EXP(-LN(2)/25)*FR128+(1-EXP(-LN(2)/25))/(LN(2)/25)*Calculateur!FM129*Calculateur!FO129*VLOOKUP('Données projet'!$B$16,Paramètres!$A$1:$I$89,3,0)*0.475*44/12</f>
        <v>0.64442370530168624</v>
      </c>
      <c r="FS129" s="21">
        <f>EXP(-LN(2)/2)*FS128+(1-EXP(-LN(2)/2))/(LN(2)/2)*FM129*FP129*VLOOKUP('Données projet'!$B$16,Paramètres!$A$1:$I$89,3,0)*0.475*44/12</f>
        <v>5.1079278076251768E-14</v>
      </c>
      <c r="FT129" s="22">
        <f t="shared" si="78"/>
        <v>1.3364582591750735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117.54638373164624</v>
      </c>
      <c r="GF129" s="59">
        <f t="shared" si="104"/>
        <v>133.0740262536583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0.33049240768391891</v>
      </c>
      <c r="GM129" s="21">
        <f>EXP(-LN(2)/25)*GM128+(1-EXP(-LN(2)/25))/(LN(2)/25)*Calculateur!GH129*Calculateur!GJ129*VLOOKUP('Données projet'!$B$17,Paramètres!$A$1:$I$89,3,0)*0.475*44/12</f>
        <v>0.60442365555123156</v>
      </c>
      <c r="GN129" s="21">
        <f>EXP(-LN(2)/2)*GN128+(1-EXP(-LN(2)/2))/(LN(2)/2)*GH129*GK129*VLOOKUP('Données projet'!$B$17,Paramètres!$A$1:$I$89,3,0)*0.475*44/12</f>
        <v>1.4372583516848679E-14</v>
      </c>
      <c r="GO129" s="21">
        <f t="shared" si="81"/>
        <v>0.93491606323516485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2.8421709430404007E-14</v>
      </c>
      <c r="GV129" s="17">
        <f>GU129*VLOOKUP('Données projet'!$B$18,Paramètres!$A$1:$I$89,3,0)*VLOOKUP('Données projet'!$B$18,Paramètres!$A$1:$I$89,5,0)</f>
        <v>1.3567387213697657E-14</v>
      </c>
      <c r="GW129" s="13">
        <f t="shared" si="105"/>
        <v>2.5717320947985821E-13</v>
      </c>
      <c r="GX129" s="20">
        <f t="shared" si="82"/>
        <v>4.7153987257460977E-13</v>
      </c>
      <c r="GY129" s="59">
        <f t="shared" si="83"/>
        <v>293.33333333333377</v>
      </c>
      <c r="GZ129" s="59">
        <f ca="1">AVERAGE(OFFSET($GY$3,0,0,'Données projet'!$E$18+1,1))-AVERAGE(OFFSET($H$3,0,0,'Données projet'!$E$18+1,1))</f>
        <v>43.147469606759159</v>
      </c>
      <c r="HA129" s="59">
        <f t="shared" si="106"/>
        <v>147.46995307968473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5.3872626126845304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1.958182797196846E-15</v>
      </c>
      <c r="HJ129" s="22">
        <f t="shared" si="84"/>
        <v>5.3872626126845322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2.8421709430404007E-14</v>
      </c>
      <c r="O130" s="13">
        <f>N130*VLOOKUP('Données projet'!$B$9,Paramètres!$A$1:$I$89,3,0)*VLOOKUP('Données projet'!$B$9,Paramètres!$A$1:$I$89,5,0)</f>
        <v>2.5715962692629544E-14</v>
      </c>
      <c r="P130" s="13">
        <f t="shared" si="87"/>
        <v>4.5248818890525812E-13</v>
      </c>
      <c r="Q130" s="20">
        <f t="shared" si="107"/>
        <v>8.3287223069965432E-13</v>
      </c>
      <c r="R130" s="59">
        <f t="shared" si="55"/>
        <v>293.33333333333417</v>
      </c>
      <c r="S130" s="59">
        <f ca="1">AVERAGE(OFFSET($R$3,0,0,'Données projet'!$E$9+1,1))-AVERAGE(OFFSET($H$3,0,0,'Données projet'!$E$9+1,1))</f>
        <v>138.8931001150624</v>
      </c>
      <c r="T130" s="59">
        <f t="shared" si="88"/>
        <v>48.964659354096625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-7.4487616075202836E-14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191.94797389630673</v>
      </c>
      <c r="AO130" s="59">
        <f t="shared" si="90"/>
        <v>273.52540822767878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0.95416346864364932</v>
      </c>
      <c r="AW130" s="21">
        <f>EXP(-LN(2)/2)*AW129+(1-EXP(-LN(2)/2))/(LN(2)/2)*AQ130*AT130*VLOOKUP('Données projet'!$B$10,Paramètres!$A$1:$I$89,3,0)*0.475*44/12</f>
        <v>5.8289526573660831E-14</v>
      </c>
      <c r="AX130" s="21">
        <f t="shared" si="60"/>
        <v>1.3312462918665446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3.5470293369144201E-14</v>
      </c>
      <c r="BF130" s="13">
        <f t="shared" si="91"/>
        <v>6.0119115841663204E-13</v>
      </c>
      <c r="BG130" s="20">
        <f t="shared" si="61"/>
        <v>1.1088520285268936E-12</v>
      </c>
      <c r="BH130" s="59">
        <f t="shared" si="62"/>
        <v>293.33333333333445</v>
      </c>
      <c r="BI130" s="59">
        <f ca="1">AVERAGE(OFFSET($BH$3,0,0,'Données projet'!$E$11+1,1))-AVERAGE(OFFSET($H$3,0,0,'Données projet'!$E$11+1,1))</f>
        <v>162.91481796710048</v>
      </c>
      <c r="BJ130" s="59">
        <f t="shared" si="92"/>
        <v>182.56192390367823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0.40735128690238909</v>
      </c>
      <c r="BQ130" s="21">
        <f>EXP(-LN(2)/25)*BQ129+(1-EXP(-LN(2)/25))/(LN(2)/25)*Calculateur!BL130*Calculateur!BN130*VLOOKUP('Données projet'!$B$11,Paramètres!$A$1:$I$89,3,0)*0.475*44/12</f>
        <v>1.0377365537312693</v>
      </c>
      <c r="BR130" s="21">
        <f>EXP(-LN(2)/2)*BR129+(1-EXP(-LN(2)/2))/(LN(2)/2)*BL130*BO130*VLOOKUP('Données projet'!$B$11,Paramètres!$A$1:$I$89,3,0)*0.475*44/12</f>
        <v>4.5142583428986195E-14</v>
      </c>
      <c r="BS130" s="22">
        <f t="shared" si="63"/>
        <v>1.4450878406337033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-5.3205440053716299E-14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123.60520571614535</v>
      </c>
      <c r="CE130" s="59">
        <f t="shared" si="94"/>
        <v>119.00926870519527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0.12702449727737458</v>
      </c>
      <c r="CL130" s="21">
        <f>EXP(-LN(2)/25)*CL129+(1-EXP(-LN(2)/25))/(LN(2)/25)*Calculateur!CG130*Calculateur!CI130*VLOOKUP('Données projet'!$B$12,Paramètres!$A$1:$I$89,3,0)*0.475*44/12</f>
        <v>0.32444185433221867</v>
      </c>
      <c r="CM130" s="21">
        <f>EXP(-LN(2)/2)*CM129+(1-EXP(-LN(2)/2))/(LN(2)/2)*CG130*CJ130*VLOOKUP('Données projet'!$B$12,Paramètres!$A$1:$I$89,3,0)*0.475*44/12</f>
        <v>1.5358545178599334E-14</v>
      </c>
      <c r="CN130" s="22">
        <f t="shared" si="66"/>
        <v>0.45146635160960863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2.9706370696658272E-14</v>
      </c>
      <c r="CV130" s="13">
        <f t="shared" si="95"/>
        <v>5.1399863782592153E-13</v>
      </c>
      <c r="CW130" s="20">
        <f t="shared" si="67"/>
        <v>9.4695288984349312E-13</v>
      </c>
      <c r="CX130" s="59">
        <f t="shared" si="68"/>
        <v>293.33333333333428</v>
      </c>
      <c r="CY130" s="59">
        <f ca="1">AVERAGE(OFFSET($CX$3,0,0,'Données projet'!$E$13+1,1))-AVERAGE(OFFSET($H$3,0,0,'Données projet'!$E$13+1,1))</f>
        <v>177.94336949486529</v>
      </c>
      <c r="CZ130" s="59">
        <f t="shared" si="96"/>
        <v>65.559373432574603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3.3992364478763198E-14</v>
      </c>
      <c r="DQ130" s="13">
        <f t="shared" si="97"/>
        <v>5.790027782444094E-13</v>
      </c>
      <c r="DR130" s="20">
        <f t="shared" si="70"/>
        <v>1.0676332069095257E-12</v>
      </c>
      <c r="DS130" s="59">
        <f t="shared" si="71"/>
        <v>293.33333333333439</v>
      </c>
      <c r="DT130" s="59">
        <f ca="1">AVERAGE(OFFSET($DS$3,0,0,'Données projet'!$E$14+1,1))-AVERAGE(OFFSET($H$3,0,0,'Données projet'!$E$14+1,1))</f>
        <v>165.39579887388538</v>
      </c>
      <c r="DU130" s="59">
        <f t="shared" si="98"/>
        <v>155.89639262545802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0.49509230226339829</v>
      </c>
      <c r="EC130" s="21">
        <f>EXP(-LN(2)/2)*EC129+(1-EXP(-LN(2)/2))/(LN(2)/2)*DW130*DZ130*VLOOKUP('Données projet'!$B$14,Paramètres!$A$1:$I$89,3,0)*0.475*44/12</f>
        <v>3.4868703095002652E-14</v>
      </c>
      <c r="ED130" s="22">
        <f t="shared" si="72"/>
        <v>0.49509230226343315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-1.1368683772161603E-12</v>
      </c>
      <c r="EK130" s="17">
        <f>EJ130*VLOOKUP('Données projet'!$B$15,Paramètres!$A$1:$I$89,3,0)*VLOOKUP('Données projet'!$B$15,Paramètres!$A$1:$I$89,5,0)</f>
        <v>-5.4683368944097316E-13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252.30925789500111</v>
      </c>
      <c r="EP130" s="59">
        <f t="shared" si="100"/>
        <v>213.96033794804805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0.67846417837127915</v>
      </c>
      <c r="EW130" s="21">
        <f>EXP(-LN(2)/25)*EW129+(1-EXP(-LN(2)/25))/(LN(2)/25)*Calculateur!ER130*Calculateur!ET130*VLOOKUP('Données projet'!$B$15,Paramètres!$A$1:$I$89,3,0)*0.475*44/12</f>
        <v>0.62680190519144185</v>
      </c>
      <c r="EX130" s="21">
        <f>EXP(-LN(2)/2)*EX129+(1-EXP(-LN(2)/2))/(LN(2)/2)*ER130*EU130*VLOOKUP('Données projet'!$B$15,Paramètres!$A$1:$I$89,3,0)*0.475*44/12</f>
        <v>3.6118503905830972E-14</v>
      </c>
      <c r="EY130" s="22">
        <f t="shared" si="75"/>
        <v>1.3052660835627572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-1.1368683772161603E-12</v>
      </c>
      <c r="FF130" s="17">
        <f>FE130*VLOOKUP('Données projet'!$B$16,Paramètres!$A$1:$I$89,3,0)*VLOOKUP('Données projet'!$B$16,Paramètres!$A$1:$I$89,5,0)</f>
        <v>-5.4683368944097316E-13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252.30925789500111</v>
      </c>
      <c r="FK130" s="59">
        <f t="shared" si="102"/>
        <v>213.96033794804805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0.67846417837127915</v>
      </c>
      <c r="FR130" s="21">
        <f>EXP(-LN(2)/25)*FR129+(1-EXP(-LN(2)/25))/(LN(2)/25)*Calculateur!FM130*Calculateur!FO130*VLOOKUP('Données projet'!$B$16,Paramètres!$A$1:$I$89,3,0)*0.475*44/12</f>
        <v>0.62680190519144185</v>
      </c>
      <c r="FS130" s="21">
        <f>EXP(-LN(2)/2)*FS129+(1-EXP(-LN(2)/2))/(LN(2)/2)*FM130*FP130*VLOOKUP('Données projet'!$B$16,Paramètres!$A$1:$I$89,3,0)*0.475*44/12</f>
        <v>3.6118503905830972E-14</v>
      </c>
      <c r="FT130" s="22">
        <f t="shared" si="78"/>
        <v>1.3052660835627572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117.54638373164624</v>
      </c>
      <c r="GF130" s="59">
        <f t="shared" si="104"/>
        <v>133.0740262536583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0.32401165314970154</v>
      </c>
      <c r="GM130" s="21">
        <f>EXP(-LN(2)/25)*GM129+(1-EXP(-LN(2)/25))/(LN(2)/25)*Calculateur!GH130*Calculateur!GJ130*VLOOKUP('Données projet'!$B$17,Paramètres!$A$1:$I$89,3,0)*0.475*44/12</f>
        <v>0.58789565890492457</v>
      </c>
      <c r="GN130" s="21">
        <f>EXP(-LN(2)/2)*GN129+(1-EXP(-LN(2)/2))/(LN(2)/2)*GH130*GK130*VLOOKUP('Données projet'!$B$17,Paramètres!$A$1:$I$89,3,0)*0.475*44/12</f>
        <v>1.0162951267933699E-14</v>
      </c>
      <c r="GO130" s="21">
        <f t="shared" si="81"/>
        <v>0.91190731205463638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2.8421709430404007E-14</v>
      </c>
      <c r="GV130" s="17">
        <f>GU130*VLOOKUP('Données projet'!$B$18,Paramètres!$A$1:$I$89,3,0)*VLOOKUP('Données projet'!$B$18,Paramètres!$A$1:$I$89,5,0)</f>
        <v>1.3567387213697657E-14</v>
      </c>
      <c r="GW130" s="13">
        <f t="shared" si="105"/>
        <v>2.5717320947985821E-13</v>
      </c>
      <c r="GX130" s="20">
        <f t="shared" si="82"/>
        <v>4.7153987257460977E-13</v>
      </c>
      <c r="GY130" s="59">
        <f t="shared" si="83"/>
        <v>293.33333333333377</v>
      </c>
      <c r="GZ130" s="59">
        <f ca="1">AVERAGE(OFFSET($GY$3,0,0,'Données projet'!$E$18+1,1))-AVERAGE(OFFSET($H$3,0,0,'Données projet'!$E$18+1,1))</f>
        <v>43.147469606759159</v>
      </c>
      <c r="HA130" s="59">
        <f t="shared" si="106"/>
        <v>147.46995307968473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5.2816216787555241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1.3846443347007318E-15</v>
      </c>
      <c r="HJ130" s="22">
        <f t="shared" si="84"/>
        <v>5.2816216787555259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2.8421709430404007E-14</v>
      </c>
      <c r="O131" s="13">
        <f>N131*VLOOKUP('Données projet'!$B$9,Paramètres!$A$1:$I$89,3,0)*VLOOKUP('Données projet'!$B$9,Paramètres!$A$1:$I$89,5,0)</f>
        <v>2.5715962692629544E-14</v>
      </c>
      <c r="P131" s="13">
        <f t="shared" si="87"/>
        <v>4.5248818890525812E-13</v>
      </c>
      <c r="Q131" s="20">
        <f t="shared" ref="Q131:Q153" si="108">(O131+P131)*0.475*44/12</f>
        <v>8.3287223069965432E-13</v>
      </c>
      <c r="R131" s="59">
        <f t="shared" ref="R131:R194" si="109">Q131+(I131+J131)*44/12</f>
        <v>293.33333333333417</v>
      </c>
      <c r="S131" s="59">
        <f ca="1">AVERAGE(OFFSET($R$3,0,0,'Données projet'!$E$9+1,1))-AVERAGE(OFFSET($H$3,0,0,'Données projet'!$E$9+1,1))</f>
        <v>138.8931001150624</v>
      </c>
      <c r="T131" s="59">
        <f t="shared" si="88"/>
        <v>48.964659354096625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-7.4487616075202836E-14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191.94797389630673</v>
      </c>
      <c r="AO131" s="59">
        <f t="shared" si="90"/>
        <v>273.52540822767878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0.9280718184163127</v>
      </c>
      <c r="AW131" s="21">
        <f>EXP(-LN(2)/2)*AW130+(1-EXP(-LN(2)/2))/(LN(2)/2)*AQ131*AT131*VLOOKUP('Données projet'!$B$10,Paramètres!$A$1:$I$89,3,0)*0.475*44/12</f>
        <v>4.1216919512389038E-14</v>
      </c>
      <c r="AX131" s="21">
        <f t="shared" si="60"/>
        <v>1.2977602774736028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3.5470293369144201E-14</v>
      </c>
      <c r="BF131" s="13">
        <f t="shared" si="91"/>
        <v>6.0119115841663204E-13</v>
      </c>
      <c r="BG131" s="20">
        <f t="shared" si="61"/>
        <v>1.1088520285268936E-12</v>
      </c>
      <c r="BH131" s="59">
        <f t="shared" si="62"/>
        <v>293.33333333333445</v>
      </c>
      <c r="BI131" s="59">
        <f ca="1">AVERAGE(OFFSET($BH$3,0,0,'Données projet'!$E$11+1,1))-AVERAGE(OFFSET($H$3,0,0,'Données projet'!$E$11+1,1))</f>
        <v>162.91481796710048</v>
      </c>
      <c r="BJ131" s="59">
        <f t="shared" si="92"/>
        <v>182.56192390367823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0.39936337662598487</v>
      </c>
      <c r="BQ131" s="21">
        <f>EXP(-LN(2)/25)*BQ130+(1-EXP(-LN(2)/25))/(LN(2)/25)*Calculateur!BL131*Calculateur!BN131*VLOOKUP('Données projet'!$B$11,Paramètres!$A$1:$I$89,3,0)*0.475*44/12</f>
        <v>1.0093595930972941</v>
      </c>
      <c r="BR131" s="21">
        <f>EXP(-LN(2)/2)*BR130+(1-EXP(-LN(2)/2))/(LN(2)/2)*BL131*BO131*VLOOKUP('Données projet'!$B$11,Paramètres!$A$1:$I$89,3,0)*0.475*44/12</f>
        <v>3.1920626862915607E-14</v>
      </c>
      <c r="BS131" s="22">
        <f t="shared" si="63"/>
        <v>1.408722969723311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-5.3205440053716299E-14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123.60520571614535</v>
      </c>
      <c r="CE131" s="59">
        <f t="shared" si="94"/>
        <v>119.00926870519527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0.12453362436305836</v>
      </c>
      <c r="CL131" s="21">
        <f>EXP(-LN(2)/25)*CL130+(1-EXP(-LN(2)/25))/(LN(2)/25)*Calculateur!CG131*Calculateur!CI131*VLOOKUP('Données projet'!$B$12,Paramètres!$A$1:$I$89,3,0)*0.475*44/12</f>
        <v>0.31556997476384857</v>
      </c>
      <c r="CM131" s="21">
        <f>EXP(-LN(2)/2)*CM130+(1-EXP(-LN(2)/2))/(LN(2)/2)*CG131*CJ131*VLOOKUP('Données projet'!$B$12,Paramètres!$A$1:$I$89,3,0)*0.475*44/12</f>
        <v>1.0860131444947544E-14</v>
      </c>
      <c r="CN131" s="22">
        <f t="shared" si="66"/>
        <v>0.44010359912691782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2.9706370696658272E-14</v>
      </c>
      <c r="CV131" s="13">
        <f t="shared" si="95"/>
        <v>5.1399863782592153E-13</v>
      </c>
      <c r="CW131" s="20">
        <f t="shared" si="67"/>
        <v>9.4695288984349312E-13</v>
      </c>
      <c r="CX131" s="59">
        <f t="shared" si="68"/>
        <v>293.33333333333428</v>
      </c>
      <c r="CY131" s="59">
        <f ca="1">AVERAGE(OFFSET($CX$3,0,0,'Données projet'!$E$13+1,1))-AVERAGE(OFFSET($H$3,0,0,'Données projet'!$E$13+1,1))</f>
        <v>177.94336949486529</v>
      </c>
      <c r="CZ131" s="59">
        <f t="shared" si="96"/>
        <v>65.559373432574603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3.3992364478763198E-14</v>
      </c>
      <c r="DQ131" s="13">
        <f t="shared" si="97"/>
        <v>5.790027782444094E-13</v>
      </c>
      <c r="DR131" s="20">
        <f t="shared" si="70"/>
        <v>1.0676332069095257E-12</v>
      </c>
      <c r="DS131" s="59">
        <f t="shared" si="71"/>
        <v>293.33333333333439</v>
      </c>
      <c r="DT131" s="59">
        <f ca="1">AVERAGE(OFFSET($DS$3,0,0,'Données projet'!$E$14+1,1))-AVERAGE(OFFSET($H$3,0,0,'Données projet'!$E$14+1,1))</f>
        <v>165.39579887388538</v>
      </c>
      <c r="DU131" s="59">
        <f t="shared" si="98"/>
        <v>155.89639262545802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0.48155397722223303</v>
      </c>
      <c r="EC131" s="21">
        <f>EXP(-LN(2)/2)*EC130+(1-EXP(-LN(2)/2))/(LN(2)/2)*DW131*DZ131*VLOOKUP('Données projet'!$B$14,Paramètres!$A$1:$I$89,3,0)*0.475*44/12</f>
        <v>2.4655896409656733E-14</v>
      </c>
      <c r="ED131" s="22">
        <f t="shared" si="72"/>
        <v>0.48155397722225768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-1.1368683772161603E-12</v>
      </c>
      <c r="EK131" s="17">
        <f>EJ131*VLOOKUP('Données projet'!$B$15,Paramètres!$A$1:$I$89,3,0)*VLOOKUP('Données projet'!$B$15,Paramètres!$A$1:$I$89,5,0)</f>
        <v>-5.4683368944097316E-13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252.30925789500111</v>
      </c>
      <c r="EP131" s="59">
        <f t="shared" si="100"/>
        <v>213.96033794804805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0.66515990965570559</v>
      </c>
      <c r="EW131" s="21">
        <f>EXP(-LN(2)/25)*EW130+(1-EXP(-LN(2)/25))/(LN(2)/25)*Calculateur!ER131*Calculateur!ET131*VLOOKUP('Données projet'!$B$15,Paramètres!$A$1:$I$89,3,0)*0.475*44/12</f>
        <v>0.60966197413190226</v>
      </c>
      <c r="EX131" s="21">
        <f>EXP(-LN(2)/2)*EX130+(1-EXP(-LN(2)/2))/(LN(2)/2)*ER131*EU131*VLOOKUP('Données projet'!$B$15,Paramètres!$A$1:$I$89,3,0)*0.475*44/12</f>
        <v>2.5539639038125884E-14</v>
      </c>
      <c r="EY131" s="22">
        <f t="shared" si="75"/>
        <v>1.2748218837876333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-1.1368683772161603E-12</v>
      </c>
      <c r="FF131" s="17">
        <f>FE131*VLOOKUP('Données projet'!$B$16,Paramètres!$A$1:$I$89,3,0)*VLOOKUP('Données projet'!$B$16,Paramètres!$A$1:$I$89,5,0)</f>
        <v>-5.4683368944097316E-13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252.30925789500111</v>
      </c>
      <c r="FK131" s="59">
        <f t="shared" si="102"/>
        <v>213.96033794804805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0.66515990965570559</v>
      </c>
      <c r="FR131" s="21">
        <f>EXP(-LN(2)/25)*FR130+(1-EXP(-LN(2)/25))/(LN(2)/25)*Calculateur!FM131*Calculateur!FO131*VLOOKUP('Données projet'!$B$16,Paramètres!$A$1:$I$89,3,0)*0.475*44/12</f>
        <v>0.60966197413190226</v>
      </c>
      <c r="FS131" s="21">
        <f>EXP(-LN(2)/2)*FS130+(1-EXP(-LN(2)/2))/(LN(2)/2)*FM131*FP131*VLOOKUP('Données projet'!$B$16,Paramètres!$A$1:$I$89,3,0)*0.475*44/12</f>
        <v>2.5539639038125884E-14</v>
      </c>
      <c r="FT131" s="22">
        <f t="shared" si="78"/>
        <v>1.2748218837876333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117.54638373164624</v>
      </c>
      <c r="GF131" s="59">
        <f t="shared" si="104"/>
        <v>133.0740262536583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0.31765798225903019</v>
      </c>
      <c r="GM131" s="21">
        <f>EXP(-LN(2)/25)*GM130+(1-EXP(-LN(2)/25))/(LN(2)/25)*Calculateur!GH131*Calculateur!GJ131*VLOOKUP('Données projet'!$B$17,Paramètres!$A$1:$I$89,3,0)*0.475*44/12</f>
        <v>0.57181962119608032</v>
      </c>
      <c r="GN131" s="21">
        <f>EXP(-LN(2)/2)*GN130+(1-EXP(-LN(2)/2))/(LN(2)/2)*GH131*GK131*VLOOKUP('Données projet'!$B$17,Paramètres!$A$1:$I$89,3,0)*0.475*44/12</f>
        <v>7.1862917584243394E-15</v>
      </c>
      <c r="GO131" s="21">
        <f t="shared" si="81"/>
        <v>0.88947760345511773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2.8421709430404007E-14</v>
      </c>
      <c r="GV131" s="17">
        <f>GU131*VLOOKUP('Données projet'!$B$18,Paramètres!$A$1:$I$89,3,0)*VLOOKUP('Données projet'!$B$18,Paramètres!$A$1:$I$89,5,0)</f>
        <v>1.3567387213697657E-14</v>
      </c>
      <c r="GW131" s="13">
        <f t="shared" si="105"/>
        <v>2.5717320947985821E-13</v>
      </c>
      <c r="GX131" s="20">
        <f t="shared" si="82"/>
        <v>4.7153987257460977E-13</v>
      </c>
      <c r="GY131" s="59">
        <f t="shared" si="83"/>
        <v>293.33333333333377</v>
      </c>
      <c r="GZ131" s="59">
        <f ca="1">AVERAGE(OFFSET($GY$3,0,0,'Données projet'!$E$18+1,1))-AVERAGE(OFFSET($H$3,0,0,'Données projet'!$E$18+1,1))</f>
        <v>43.147469606759159</v>
      </c>
      <c r="HA131" s="59">
        <f t="shared" si="106"/>
        <v>147.46995307968473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5.1780522991062581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9.7909139859842299E-16</v>
      </c>
      <c r="HJ131" s="22">
        <f t="shared" si="84"/>
        <v>5.178052299106259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2.8421709430404007E-14</v>
      </c>
      <c r="O132" s="13">
        <f>N132*VLOOKUP('Données projet'!$B$9,Paramètres!$A$1:$I$89,3,0)*VLOOKUP('Données projet'!$B$9,Paramètres!$A$1:$I$89,5,0)</f>
        <v>2.5715962692629544E-14</v>
      </c>
      <c r="P132" s="13">
        <f t="shared" si="87"/>
        <v>4.5248818890525812E-13</v>
      </c>
      <c r="Q132" s="20">
        <f t="shared" si="108"/>
        <v>8.3287223069965432E-13</v>
      </c>
      <c r="R132" s="59">
        <f t="shared" si="109"/>
        <v>293.33333333333417</v>
      </c>
      <c r="S132" s="59">
        <f ca="1">AVERAGE(OFFSET($R$3,0,0,'Données projet'!$E$9+1,1))-AVERAGE(OFFSET($H$3,0,0,'Données projet'!$E$9+1,1))</f>
        <v>138.8931001150624</v>
      </c>
      <c r="T132" s="59">
        <f t="shared" si="88"/>
        <v>48.964659354096625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-7.4487616075202836E-14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191.94797389630673</v>
      </c>
      <c r="AO132" s="59">
        <f t="shared" si="90"/>
        <v>273.52540822767878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0.90269364573654287</v>
      </c>
      <c r="AW132" s="21">
        <f>EXP(-LN(2)/2)*AW131+(1-EXP(-LN(2)/2))/(LN(2)/2)*AQ132*AT132*VLOOKUP('Données projet'!$B$10,Paramètres!$A$1:$I$89,3,0)*0.475*44/12</f>
        <v>2.9144763286830415E-14</v>
      </c>
      <c r="AX132" s="21">
        <f t="shared" ref="AX132:AX153" si="114">SUM(AU132:AW132)</f>
        <v>1.265132739599403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3.5470293369144201E-14</v>
      </c>
      <c r="BF132" s="13">
        <f t="shared" si="91"/>
        <v>6.0119115841663204E-13</v>
      </c>
      <c r="BG132" s="20">
        <f t="shared" ref="BG132:BG153" si="115">(BE132+BF132)*0.475*44/12</f>
        <v>1.1088520285268936E-12</v>
      </c>
      <c r="BH132" s="59">
        <f t="shared" ref="BH132:BH195" si="116">BG132+(AY132+AZ132)*44/12</f>
        <v>293.33333333333445</v>
      </c>
      <c r="BI132" s="59">
        <f ca="1">AVERAGE(OFFSET($BH$3,0,0,'Données projet'!$E$11+1,1))-AVERAGE(OFFSET($H$3,0,0,'Données projet'!$E$11+1,1))</f>
        <v>162.91481796710048</v>
      </c>
      <c r="BJ132" s="59">
        <f t="shared" si="92"/>
        <v>182.56192390367823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0.39153210439795677</v>
      </c>
      <c r="BQ132" s="21">
        <f>EXP(-LN(2)/25)*BQ131+(1-EXP(-LN(2)/25))/(LN(2)/25)*Calculateur!BL132*Calculateur!BN132*VLOOKUP('Données projet'!$B$11,Paramètres!$A$1:$I$89,3,0)*0.475*44/12</f>
        <v>0.98175860194413445</v>
      </c>
      <c r="BR132" s="21">
        <f>EXP(-LN(2)/2)*BR131+(1-EXP(-LN(2)/2))/(LN(2)/2)*BL132*BO132*VLOOKUP('Données projet'!$B$11,Paramètres!$A$1:$I$89,3,0)*0.475*44/12</f>
        <v>2.2571291714493097E-14</v>
      </c>
      <c r="BS132" s="22">
        <f t="shared" ref="BS132:BS153" si="117">SUM(BP132:BR132)</f>
        <v>1.3732907063421138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-5.3205440053716299E-14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123.60520571614535</v>
      </c>
      <c r="CE132" s="59">
        <f t="shared" si="94"/>
        <v>119.00926870519527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0.12209159594730941</v>
      </c>
      <c r="CL132" s="21">
        <f>EXP(-LN(2)/25)*CL131+(1-EXP(-LN(2)/25))/(LN(2)/25)*Calculateur!CG132*Calculateur!CI132*VLOOKUP('Données projet'!$B$12,Paramètres!$A$1:$I$89,3,0)*0.475*44/12</f>
        <v>0.30694069720882738</v>
      </c>
      <c r="CM132" s="21">
        <f>EXP(-LN(2)/2)*CM131+(1-EXP(-LN(2)/2))/(LN(2)/2)*CG132*CJ132*VLOOKUP('Données projet'!$B$12,Paramètres!$A$1:$I$89,3,0)*0.475*44/12</f>
        <v>7.6792725892996668E-15</v>
      </c>
      <c r="CN132" s="22">
        <f t="shared" ref="CN132:CN153" si="120">SUM(CK132:CM132)</f>
        <v>0.42903229315614444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2.9706370696658272E-14</v>
      </c>
      <c r="CV132" s="13">
        <f t="shared" si="95"/>
        <v>5.1399863782592153E-13</v>
      </c>
      <c r="CW132" s="20">
        <f t="shared" ref="CW132:CW153" si="121">(CU132+CV132)*0.475*44/12</f>
        <v>9.4695288984349312E-13</v>
      </c>
      <c r="CX132" s="59">
        <f t="shared" ref="CX132:CX195" si="122">CW132+(CO132+CP132)*44/12</f>
        <v>293.33333333333428</v>
      </c>
      <c r="CY132" s="59">
        <f ca="1">AVERAGE(OFFSET($CX$3,0,0,'Données projet'!$E$13+1,1))-AVERAGE(OFFSET($H$3,0,0,'Données projet'!$E$13+1,1))</f>
        <v>177.94336949486529</v>
      </c>
      <c r="CZ132" s="59">
        <f t="shared" si="96"/>
        <v>65.559373432574603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3.3992364478763198E-14</v>
      </c>
      <c r="DQ132" s="13">
        <f t="shared" si="97"/>
        <v>5.790027782444094E-13</v>
      </c>
      <c r="DR132" s="20">
        <f t="shared" ref="DR132:DR153" si="124">(DP132+DQ132)*0.475*44/12</f>
        <v>1.0676332069095257E-12</v>
      </c>
      <c r="DS132" s="59">
        <f t="shared" ref="DS132:DS195" si="125">DR132+(DJ132+DK132)*44/12</f>
        <v>293.33333333333439</v>
      </c>
      <c r="DT132" s="59">
        <f ca="1">AVERAGE(OFFSET($DS$3,0,0,'Données projet'!$E$14+1,1))-AVERAGE(OFFSET($H$3,0,0,'Données projet'!$E$14+1,1))</f>
        <v>165.39579887388538</v>
      </c>
      <c r="DU132" s="59">
        <f t="shared" si="98"/>
        <v>155.89639262545802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0.46838585839126801</v>
      </c>
      <c r="EC132" s="21">
        <f>EXP(-LN(2)/2)*EC131+(1-EXP(-LN(2)/2))/(LN(2)/2)*DW132*DZ132*VLOOKUP('Données projet'!$B$14,Paramètres!$A$1:$I$89,3,0)*0.475*44/12</f>
        <v>1.7434351547501326E-14</v>
      </c>
      <c r="ED132" s="22">
        <f t="shared" ref="ED132:ED153" si="126">SUM(EA132:EC132)</f>
        <v>0.46838585839128544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-1.1368683772161603E-12</v>
      </c>
      <c r="EK132" s="17">
        <f>EJ132*VLOOKUP('Données projet'!$B$15,Paramètres!$A$1:$I$89,3,0)*VLOOKUP('Données projet'!$B$15,Paramètres!$A$1:$I$89,5,0)</f>
        <v>-5.4683368944097316E-13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252.30925789500111</v>
      </c>
      <c r="EP132" s="59">
        <f t="shared" si="100"/>
        <v>213.96033794804805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0.65211652953484178</v>
      </c>
      <c r="EW132" s="21">
        <f>EXP(-LN(2)/25)*EW131+(1-EXP(-LN(2)/25))/(LN(2)/25)*Calculateur!ER132*Calculateur!ET132*VLOOKUP('Données projet'!$B$15,Paramètres!$A$1:$I$89,3,0)*0.475*44/12</f>
        <v>0.59299073538853553</v>
      </c>
      <c r="EX132" s="21">
        <f>EXP(-LN(2)/2)*EX131+(1-EXP(-LN(2)/2))/(LN(2)/2)*ER132*EU132*VLOOKUP('Données projet'!$B$15,Paramètres!$A$1:$I$89,3,0)*0.475*44/12</f>
        <v>1.8059251952915486E-14</v>
      </c>
      <c r="EY132" s="22">
        <f t="shared" ref="EY132:EY153" si="129">SUM(EV132:EX132)</f>
        <v>1.2451072649233954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-1.1368683772161603E-12</v>
      </c>
      <c r="FF132" s="17">
        <f>FE132*VLOOKUP('Données projet'!$B$16,Paramètres!$A$1:$I$89,3,0)*VLOOKUP('Données projet'!$B$16,Paramètres!$A$1:$I$89,5,0)</f>
        <v>-5.4683368944097316E-13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252.30925789500111</v>
      </c>
      <c r="FK132" s="59">
        <f t="shared" si="102"/>
        <v>213.96033794804805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0.65211652953484178</v>
      </c>
      <c r="FR132" s="21">
        <f>EXP(-LN(2)/25)*FR131+(1-EXP(-LN(2)/25))/(LN(2)/25)*Calculateur!FM132*Calculateur!FO132*VLOOKUP('Données projet'!$B$16,Paramètres!$A$1:$I$89,3,0)*0.475*44/12</f>
        <v>0.59299073538853553</v>
      </c>
      <c r="FS132" s="21">
        <f>EXP(-LN(2)/2)*FS131+(1-EXP(-LN(2)/2))/(LN(2)/2)*FM132*FP132*VLOOKUP('Données projet'!$B$16,Paramètres!$A$1:$I$89,3,0)*0.475*44/12</f>
        <v>1.8059251952915486E-14</v>
      </c>
      <c r="FT132" s="22">
        <f t="shared" ref="FT132:FT153" si="132">SUM(FQ132:FS132)</f>
        <v>1.2451072649233954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117.54638373164624</v>
      </c>
      <c r="GF132" s="59">
        <f t="shared" si="104"/>
        <v>133.0740262536583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0.31142890297916836</v>
      </c>
      <c r="GM132" s="21">
        <f>EXP(-LN(2)/25)*GM131+(1-EXP(-LN(2)/25))/(LN(2)/25)*Calculateur!GH132*Calculateur!GJ132*VLOOKUP('Données projet'!$B$17,Paramètres!$A$1:$I$89,3,0)*0.475*44/12</f>
        <v>0.55618318358378649</v>
      </c>
      <c r="GN132" s="21">
        <f>EXP(-LN(2)/2)*GN131+(1-EXP(-LN(2)/2))/(LN(2)/2)*GH132*GK132*VLOOKUP('Données projet'!$B$17,Paramètres!$A$1:$I$89,3,0)*0.475*44/12</f>
        <v>5.0814756339668493E-15</v>
      </c>
      <c r="GO132" s="21">
        <f t="shared" ref="GO132:GO153" si="135">SUM(GL132:GN132)</f>
        <v>0.86761208656295996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2.8421709430404007E-14</v>
      </c>
      <c r="GV132" s="17">
        <f>GU132*VLOOKUP('Données projet'!$B$18,Paramètres!$A$1:$I$89,3,0)*VLOOKUP('Données projet'!$B$18,Paramètres!$A$1:$I$89,5,0)</f>
        <v>1.3567387213697657E-14</v>
      </c>
      <c r="GW132" s="13">
        <f t="shared" si="105"/>
        <v>2.5717320947985821E-13</v>
      </c>
      <c r="GX132" s="20">
        <f t="shared" ref="GX132:GX153" si="136">(GV132+GW132)*0.475*44/12</f>
        <v>4.7153987257460977E-13</v>
      </c>
      <c r="GY132" s="59">
        <f t="shared" ref="GY132:GY195" si="137">GX132+(GP132+GQ132)*44/12</f>
        <v>293.33333333333377</v>
      </c>
      <c r="GZ132" s="59">
        <f ca="1">AVERAGE(OFFSET($GY$3,0,0,'Données projet'!$E$18+1,1))-AVERAGE(OFFSET($H$3,0,0,'Données projet'!$E$18+1,1))</f>
        <v>43.147469606759159</v>
      </c>
      <c r="HA132" s="59">
        <f t="shared" si="106"/>
        <v>147.46995307968473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5.0765138518208301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6.9232216735036589E-16</v>
      </c>
      <c r="HJ132" s="22">
        <f t="shared" ref="HJ132:HJ153" si="138">SUM(HG132:HI132)</f>
        <v>5.076513851820831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2.8421709430404007E-14</v>
      </c>
      <c r="O133" s="13">
        <f>N133*VLOOKUP('Données projet'!$B$9,Paramètres!$A$1:$I$89,3,0)*VLOOKUP('Données projet'!$B$9,Paramètres!$A$1:$I$89,5,0)</f>
        <v>2.5715962692629544E-14</v>
      </c>
      <c r="P133" s="13">
        <f t="shared" ref="P133:P196" si="141">EXP(-1.0587+0.8836*LN(O133)+0.284)</f>
        <v>4.5248818890525812E-13</v>
      </c>
      <c r="Q133" s="20">
        <f t="shared" si="108"/>
        <v>8.3287223069965432E-13</v>
      </c>
      <c r="R133" s="59">
        <f t="shared" si="109"/>
        <v>293.33333333333417</v>
      </c>
      <c r="S133" s="59">
        <f ca="1">AVERAGE(OFFSET($R$3,0,0,'Données projet'!$E$9+1,1))-AVERAGE(OFFSET($H$3,0,0,'Données projet'!$E$9+1,1))</f>
        <v>138.8931001150624</v>
      </c>
      <c r="T133" s="59">
        <f t="shared" ref="T133:T196" si="142">$T$3</f>
        <v>48.964659354096625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-7.4487616075202836E-14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191.94797389630673</v>
      </c>
      <c r="AO133" s="59">
        <f t="shared" ref="AO133:AO196" si="144">$AO$3</f>
        <v>273.52540822767878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0.87800944052328145</v>
      </c>
      <c r="AW133" s="21">
        <f>EXP(-LN(2)/2)*AW132+(1-EXP(-LN(2)/2))/(LN(2)/2)*AQ133*AT133*VLOOKUP('Données projet'!$B$10,Paramètres!$A$1:$I$89,3,0)*0.475*44/12</f>
        <v>2.0608459756194519E-14</v>
      </c>
      <c r="AX133" s="21">
        <f t="shared" si="114"/>
        <v>1.2333413248215017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3.5470293369144201E-14</v>
      </c>
      <c r="BF133" s="13">
        <f t="shared" ref="BF133:BF153" si="145">EXP(-1.0587+0.8836*LN(BE133)+0.284)</f>
        <v>6.0119115841663204E-13</v>
      </c>
      <c r="BG133" s="20">
        <f t="shared" si="115"/>
        <v>1.1088520285268936E-12</v>
      </c>
      <c r="BH133" s="59">
        <f t="shared" si="116"/>
        <v>293.33333333333445</v>
      </c>
      <c r="BI133" s="59">
        <f ca="1">AVERAGE(OFFSET($BH$3,0,0,'Données projet'!$E$11+1,1))-AVERAGE(OFFSET($H$3,0,0,'Données projet'!$E$11+1,1))</f>
        <v>162.91481796710048</v>
      </c>
      <c r="BJ133" s="59">
        <f t="shared" ref="BJ133:BJ196" si="146">$BJ$3</f>
        <v>182.56192390367823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0.38385439864171589</v>
      </c>
      <c r="BQ133" s="21">
        <f>EXP(-LN(2)/25)*BQ132+(1-EXP(-LN(2)/25))/(LN(2)/25)*Calculateur!BL133*Calculateur!BN133*VLOOKUP('Données projet'!$B$11,Paramètres!$A$1:$I$89,3,0)*0.475*44/12</f>
        <v>0.95491236134553104</v>
      </c>
      <c r="BR133" s="21">
        <f>EXP(-LN(2)/2)*BR132+(1-EXP(-LN(2)/2))/(LN(2)/2)*BL133*BO133*VLOOKUP('Données projet'!$B$11,Paramètres!$A$1:$I$89,3,0)*0.475*44/12</f>
        <v>1.5960313431457803E-14</v>
      </c>
      <c r="BS133" s="22">
        <f t="shared" si="117"/>
        <v>1.338766759987263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-5.3205440053716299E-14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123.60520571614535</v>
      </c>
      <c r="CE133" s="59">
        <f t="shared" ref="CE133:CE196" si="148">$CE$3</f>
        <v>119.00926870519527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0.11969745421930304</v>
      </c>
      <c r="CL133" s="21">
        <f>EXP(-LN(2)/25)*CL132+(1-EXP(-LN(2)/25))/(LN(2)/25)*Calculateur!CG133*Calculateur!CI133*VLOOKUP('Données projet'!$B$12,Paramètres!$A$1:$I$89,3,0)*0.475*44/12</f>
        <v>0.29854738770234224</v>
      </c>
      <c r="CM133" s="21">
        <f>EXP(-LN(2)/2)*CM132+(1-EXP(-LN(2)/2))/(LN(2)/2)*CG133*CJ133*VLOOKUP('Données projet'!$B$12,Paramètres!$A$1:$I$89,3,0)*0.475*44/12</f>
        <v>5.4300657224737718E-15</v>
      </c>
      <c r="CN133" s="22">
        <f t="shared" si="120"/>
        <v>0.41824484192165073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2.9706370696658272E-14</v>
      </c>
      <c r="CV133" s="13">
        <f t="shared" ref="CV133:CV153" si="149">EXP(-1.0587+0.8836*LN(CU133)+0.284)</f>
        <v>5.1399863782592153E-13</v>
      </c>
      <c r="CW133" s="20">
        <f t="shared" si="121"/>
        <v>9.4695288984349312E-13</v>
      </c>
      <c r="CX133" s="59">
        <f t="shared" si="122"/>
        <v>293.33333333333428</v>
      </c>
      <c r="CY133" s="59">
        <f ca="1">AVERAGE(OFFSET($CX$3,0,0,'Données projet'!$E$13+1,1))-AVERAGE(OFFSET($H$3,0,0,'Données projet'!$E$13+1,1))</f>
        <v>177.94336949486529</v>
      </c>
      <c r="CZ133" s="59">
        <f t="shared" ref="CZ133:CZ196" si="150">$CZ$3</f>
        <v>65.559373432574603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3.3992364478763198E-14</v>
      </c>
      <c r="DQ133" s="13">
        <f t="shared" ref="DQ133:DQ153" si="151">EXP(-1.0587+0.8836*LN(DP133)+0.284)</f>
        <v>5.790027782444094E-13</v>
      </c>
      <c r="DR133" s="20">
        <f t="shared" si="124"/>
        <v>1.0676332069095257E-12</v>
      </c>
      <c r="DS133" s="59">
        <f t="shared" si="125"/>
        <v>293.33333333333439</v>
      </c>
      <c r="DT133" s="59">
        <f ca="1">AVERAGE(OFFSET($DS$3,0,0,'Données projet'!$E$14+1,1))-AVERAGE(OFFSET($H$3,0,0,'Données projet'!$E$14+1,1))</f>
        <v>165.39579887388538</v>
      </c>
      <c r="DU133" s="59">
        <f t="shared" ref="DU133:DU196" si="152">$DU$3</f>
        <v>155.89639262545802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0.45557782246221701</v>
      </c>
      <c r="EC133" s="21">
        <f>EXP(-LN(2)/2)*EC132+(1-EXP(-LN(2)/2))/(LN(2)/2)*DW133*DZ133*VLOOKUP('Données projet'!$B$14,Paramètres!$A$1:$I$89,3,0)*0.475*44/12</f>
        <v>1.2327948204828367E-14</v>
      </c>
      <c r="ED133" s="22">
        <f t="shared" si="126"/>
        <v>0.45557782246222933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-1.1368683772161603E-12</v>
      </c>
      <c r="EK133" s="17">
        <f>EJ133*VLOOKUP('Données projet'!$B$15,Paramètres!$A$1:$I$89,3,0)*VLOOKUP('Données projet'!$B$15,Paramètres!$A$1:$I$89,5,0)</f>
        <v>-5.4683368944097316E-13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252.30925789500111</v>
      </c>
      <c r="EP133" s="59">
        <f t="shared" ref="EP133:EP196" si="154">$EP$3</f>
        <v>213.96033794804805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0.63932892214247183</v>
      </c>
      <c r="EW133" s="21">
        <f>EXP(-LN(2)/25)*EW132+(1-EXP(-LN(2)/25))/(LN(2)/25)*Calculateur!ER133*Calculateur!ET133*VLOOKUP('Données projet'!$B$15,Paramètres!$A$1:$I$89,3,0)*0.475*44/12</f>
        <v>0.57677537254530853</v>
      </c>
      <c r="EX133" s="21">
        <f>EXP(-LN(2)/2)*EX132+(1-EXP(-LN(2)/2))/(LN(2)/2)*ER133*EU133*VLOOKUP('Données projet'!$B$15,Paramètres!$A$1:$I$89,3,0)*0.475*44/12</f>
        <v>1.2769819519062942E-14</v>
      </c>
      <c r="EY133" s="22">
        <f t="shared" si="129"/>
        <v>1.2161042946877934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-1.1368683772161603E-12</v>
      </c>
      <c r="FF133" s="17">
        <f>FE133*VLOOKUP('Données projet'!$B$16,Paramètres!$A$1:$I$89,3,0)*VLOOKUP('Données projet'!$B$16,Paramètres!$A$1:$I$89,5,0)</f>
        <v>-5.4683368944097316E-13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252.30925789500111</v>
      </c>
      <c r="FK133" s="59">
        <f t="shared" ref="FK133:FK196" si="156">$FK$3</f>
        <v>213.96033794804805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0.63932892214247183</v>
      </c>
      <c r="FR133" s="21">
        <f>EXP(-LN(2)/25)*FR132+(1-EXP(-LN(2)/25))/(LN(2)/25)*Calculateur!FM133*Calculateur!FO133*VLOOKUP('Données projet'!$B$16,Paramètres!$A$1:$I$89,3,0)*0.475*44/12</f>
        <v>0.57677537254530853</v>
      </c>
      <c r="FS133" s="21">
        <f>EXP(-LN(2)/2)*FS132+(1-EXP(-LN(2)/2))/(LN(2)/2)*FM133*FP133*VLOOKUP('Données projet'!$B$16,Paramètres!$A$1:$I$89,3,0)*0.475*44/12</f>
        <v>1.2769819519062942E-14</v>
      </c>
      <c r="FT133" s="22">
        <f t="shared" si="132"/>
        <v>1.2161042946877934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117.54638373164624</v>
      </c>
      <c r="GF133" s="59">
        <f t="shared" ref="GF133:GF196" si="158">$GF$3</f>
        <v>133.0740262536583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0.30532197214462142</v>
      </c>
      <c r="GM133" s="21">
        <f>EXP(-LN(2)/25)*GM132+(1-EXP(-LN(2)/25))/(LN(2)/25)*Calculateur!GH133*Calculateur!GJ133*VLOOKUP('Données projet'!$B$17,Paramètres!$A$1:$I$89,3,0)*0.475*44/12</f>
        <v>0.54097432518028543</v>
      </c>
      <c r="GN133" s="21">
        <f>EXP(-LN(2)/2)*GN132+(1-EXP(-LN(2)/2))/(LN(2)/2)*GH133*GK133*VLOOKUP('Données projet'!$B$17,Paramètres!$A$1:$I$89,3,0)*0.475*44/12</f>
        <v>3.5931458792121697E-15</v>
      </c>
      <c r="GO133" s="21">
        <f t="shared" si="135"/>
        <v>0.84629629732491041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2.8421709430404007E-14</v>
      </c>
      <c r="GV133" s="17">
        <f>GU133*VLOOKUP('Données projet'!$B$18,Paramètres!$A$1:$I$89,3,0)*VLOOKUP('Données projet'!$B$18,Paramètres!$A$1:$I$89,5,0)</f>
        <v>1.3567387213697657E-14</v>
      </c>
      <c r="GW133" s="13">
        <f t="shared" ref="GW133:GW153" si="159">EXP(-1.0587+0.8836*LN(GV133)+0.284)</f>
        <v>2.5717320947985821E-13</v>
      </c>
      <c r="GX133" s="20">
        <f t="shared" si="136"/>
        <v>4.7153987257460977E-13</v>
      </c>
      <c r="GY133" s="59">
        <f t="shared" si="137"/>
        <v>293.33333333333377</v>
      </c>
      <c r="GZ133" s="59">
        <f ca="1">AVERAGE(OFFSET($GY$3,0,0,'Données projet'!$E$18+1,1))-AVERAGE(OFFSET($H$3,0,0,'Données projet'!$E$18+1,1))</f>
        <v>43.147469606759159</v>
      </c>
      <c r="HA133" s="59">
        <f t="shared" ref="HA133:HA196" si="160">$HA$3</f>
        <v>147.46995307968473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4.9769665115543322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4.8954569929921149E-16</v>
      </c>
      <c r="HJ133" s="22">
        <f t="shared" si="138"/>
        <v>4.9769665115543331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2.8421709430404007E-14</v>
      </c>
      <c r="O134" s="13">
        <f>N134*VLOOKUP('Données projet'!$B$9,Paramètres!$A$1:$I$89,3,0)*VLOOKUP('Données projet'!$B$9,Paramètres!$A$1:$I$89,5,0)</f>
        <v>2.5715962692629544E-14</v>
      </c>
      <c r="P134" s="13">
        <f t="shared" si="141"/>
        <v>4.5248818890525812E-13</v>
      </c>
      <c r="Q134" s="20">
        <f t="shared" si="108"/>
        <v>8.3287223069965432E-13</v>
      </c>
      <c r="R134" s="59">
        <f t="shared" si="109"/>
        <v>293.33333333333417</v>
      </c>
      <c r="S134" s="59">
        <f ca="1">AVERAGE(OFFSET($R$3,0,0,'Données projet'!$E$9+1,1))-AVERAGE(OFFSET($H$3,0,0,'Données projet'!$E$9+1,1))</f>
        <v>138.8931001150624</v>
      </c>
      <c r="T134" s="59">
        <f t="shared" si="142"/>
        <v>48.964659354096625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-7.4487616075202836E-14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191.94797389630673</v>
      </c>
      <c r="AO134" s="59">
        <f t="shared" si="144"/>
        <v>273.52540822767878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0.85400022619966254</v>
      </c>
      <c r="AW134" s="21">
        <f>EXP(-LN(2)/2)*AW133+(1-EXP(-LN(2)/2))/(LN(2)/2)*AQ134*AT134*VLOOKUP('Données projet'!$B$10,Paramètres!$A$1:$I$89,3,0)*0.475*44/12</f>
        <v>1.4572381643415208E-14</v>
      </c>
      <c r="AX134" s="21">
        <f t="shared" si="114"/>
        <v>1.2023642689778382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3.5470293369144201E-14</v>
      </c>
      <c r="BF134" s="13">
        <f t="shared" si="145"/>
        <v>6.0119115841663204E-13</v>
      </c>
      <c r="BG134" s="20">
        <f t="shared" si="115"/>
        <v>1.1088520285268936E-12</v>
      </c>
      <c r="BH134" s="59">
        <f t="shared" si="116"/>
        <v>293.33333333333445</v>
      </c>
      <c r="BI134" s="59">
        <f ca="1">AVERAGE(OFFSET($BH$3,0,0,'Données projet'!$E$11+1,1))-AVERAGE(OFFSET($H$3,0,0,'Données projet'!$E$11+1,1))</f>
        <v>162.91481796710048</v>
      </c>
      <c r="BJ134" s="59">
        <f t="shared" si="146"/>
        <v>182.56192390367823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0.37632724801241679</v>
      </c>
      <c r="BQ134" s="21">
        <f>EXP(-LN(2)/25)*BQ133+(1-EXP(-LN(2)/25))/(LN(2)/25)*Calculateur!BL134*Calculateur!BN134*VLOOKUP('Données projet'!$B$11,Paramètres!$A$1:$I$89,3,0)*0.475*44/12</f>
        <v>0.92880023260787892</v>
      </c>
      <c r="BR134" s="21">
        <f>EXP(-LN(2)/2)*BR133+(1-EXP(-LN(2)/2))/(LN(2)/2)*BL134*BO134*VLOOKUP('Données projet'!$B$11,Paramètres!$A$1:$I$89,3,0)*0.475*44/12</f>
        <v>1.1285645857246549E-14</v>
      </c>
      <c r="BS134" s="22">
        <f t="shared" si="117"/>
        <v>1.305127480620307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-5.3205440053716299E-14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123.60520571614535</v>
      </c>
      <c r="CE134" s="59">
        <f t="shared" si="148"/>
        <v>119.00926870519527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0.11735026015030062</v>
      </c>
      <c r="CL134" s="21">
        <f>EXP(-LN(2)/25)*CL133+(1-EXP(-LN(2)/25))/(LN(2)/25)*Calculateur!CG134*Calculateur!CI134*VLOOKUP('Données projet'!$B$12,Paramètres!$A$1:$I$89,3,0)*0.475*44/12</f>
        <v>0.29038359368569688</v>
      </c>
      <c r="CM134" s="21">
        <f>EXP(-LN(2)/2)*CM133+(1-EXP(-LN(2)/2))/(LN(2)/2)*CG134*CJ134*VLOOKUP('Données projet'!$B$12,Paramètres!$A$1:$I$89,3,0)*0.475*44/12</f>
        <v>3.8396362946498334E-15</v>
      </c>
      <c r="CN134" s="22">
        <f t="shared" si="120"/>
        <v>0.4077338538360013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2.9706370696658272E-14</v>
      </c>
      <c r="CV134" s="13">
        <f t="shared" si="149"/>
        <v>5.1399863782592153E-13</v>
      </c>
      <c r="CW134" s="20">
        <f t="shared" si="121"/>
        <v>9.4695288984349312E-13</v>
      </c>
      <c r="CX134" s="59">
        <f t="shared" si="122"/>
        <v>293.33333333333428</v>
      </c>
      <c r="CY134" s="59">
        <f ca="1">AVERAGE(OFFSET($CX$3,0,0,'Données projet'!$E$13+1,1))-AVERAGE(OFFSET($H$3,0,0,'Données projet'!$E$13+1,1))</f>
        <v>177.94336949486529</v>
      </c>
      <c r="CZ134" s="59">
        <f t="shared" si="150"/>
        <v>65.559373432574603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3.3992364478763198E-14</v>
      </c>
      <c r="DQ134" s="13">
        <f t="shared" si="151"/>
        <v>5.790027782444094E-13</v>
      </c>
      <c r="DR134" s="20">
        <f t="shared" si="124"/>
        <v>1.0676332069095257E-12</v>
      </c>
      <c r="DS134" s="59">
        <f t="shared" si="125"/>
        <v>293.33333333333439</v>
      </c>
      <c r="DT134" s="59">
        <f ca="1">AVERAGE(OFFSET($DS$3,0,0,'Données projet'!$E$14+1,1))-AVERAGE(OFFSET($H$3,0,0,'Données projet'!$E$14+1,1))</f>
        <v>165.39579887388538</v>
      </c>
      <c r="DU134" s="59">
        <f t="shared" si="152"/>
        <v>155.89639262545802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0.44312002294919123</v>
      </c>
      <c r="EC134" s="21">
        <f>EXP(-LN(2)/2)*EC133+(1-EXP(-LN(2)/2))/(LN(2)/2)*DW134*DZ134*VLOOKUP('Données projet'!$B$14,Paramètres!$A$1:$I$89,3,0)*0.475*44/12</f>
        <v>8.717175773750663E-15</v>
      </c>
      <c r="ED134" s="22">
        <f t="shared" si="126"/>
        <v>0.44312002294919994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-1.1368683772161603E-12</v>
      </c>
      <c r="EK134" s="17">
        <f>EJ134*VLOOKUP('Données projet'!$B$15,Paramètres!$A$1:$I$89,3,0)*VLOOKUP('Données projet'!$B$15,Paramètres!$A$1:$I$89,5,0)</f>
        <v>-5.4683368944097316E-13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252.30925789500111</v>
      </c>
      <c r="EP134" s="59">
        <f t="shared" si="154"/>
        <v>213.96033794804805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0.62679207193139586</v>
      </c>
      <c r="EW134" s="21">
        <f>EXP(-LN(2)/25)*EW133+(1-EXP(-LN(2)/25))/(LN(2)/25)*Calculateur!ER134*Calculateur!ET134*VLOOKUP('Données projet'!$B$15,Paramètres!$A$1:$I$89,3,0)*0.475*44/12</f>
        <v>0.56100341965175848</v>
      </c>
      <c r="EX134" s="21">
        <f>EXP(-LN(2)/2)*EX133+(1-EXP(-LN(2)/2))/(LN(2)/2)*ER134*EU134*VLOOKUP('Données projet'!$B$15,Paramètres!$A$1:$I$89,3,0)*0.475*44/12</f>
        <v>9.0296259764577431E-15</v>
      </c>
      <c r="EY134" s="22">
        <f t="shared" si="129"/>
        <v>1.1877954915831634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-1.1368683772161603E-12</v>
      </c>
      <c r="FF134" s="17">
        <f>FE134*VLOOKUP('Données projet'!$B$16,Paramètres!$A$1:$I$89,3,0)*VLOOKUP('Données projet'!$B$16,Paramètres!$A$1:$I$89,5,0)</f>
        <v>-5.4683368944097316E-13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252.30925789500111</v>
      </c>
      <c r="FK134" s="59">
        <f t="shared" si="156"/>
        <v>213.96033794804805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0.62679207193139586</v>
      </c>
      <c r="FR134" s="21">
        <f>EXP(-LN(2)/25)*FR133+(1-EXP(-LN(2)/25))/(LN(2)/25)*Calculateur!FM134*Calculateur!FO134*VLOOKUP('Données projet'!$B$16,Paramètres!$A$1:$I$89,3,0)*0.475*44/12</f>
        <v>0.56100341965175848</v>
      </c>
      <c r="FS134" s="21">
        <f>EXP(-LN(2)/2)*FS133+(1-EXP(-LN(2)/2))/(LN(2)/2)*FM134*FP134*VLOOKUP('Données projet'!$B$16,Paramètres!$A$1:$I$89,3,0)*0.475*44/12</f>
        <v>9.0296259764577431E-15</v>
      </c>
      <c r="FT134" s="22">
        <f t="shared" si="132"/>
        <v>1.1877954915831634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117.54638373164624</v>
      </c>
      <c r="GF134" s="59">
        <f t="shared" si="158"/>
        <v>133.0740262536583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0.2993347944988799</v>
      </c>
      <c r="GM134" s="21">
        <f>EXP(-LN(2)/25)*GM133+(1-EXP(-LN(2)/25))/(LN(2)/25)*Calculateur!GH134*Calculateur!GJ134*VLOOKUP('Données projet'!$B$17,Paramètres!$A$1:$I$89,3,0)*0.475*44/12</f>
        <v>0.52618135380962716</v>
      </c>
      <c r="GN134" s="21">
        <f>EXP(-LN(2)/2)*GN133+(1-EXP(-LN(2)/2))/(LN(2)/2)*GH134*GK134*VLOOKUP('Données projet'!$B$17,Paramètres!$A$1:$I$89,3,0)*0.475*44/12</f>
        <v>2.5407378169834246E-15</v>
      </c>
      <c r="GO134" s="21">
        <f t="shared" si="135"/>
        <v>0.82551614830850961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2.8421709430404007E-14</v>
      </c>
      <c r="GV134" s="17">
        <f>GU134*VLOOKUP('Données projet'!$B$18,Paramètres!$A$1:$I$89,3,0)*VLOOKUP('Données projet'!$B$18,Paramètres!$A$1:$I$89,5,0)</f>
        <v>1.3567387213697657E-14</v>
      </c>
      <c r="GW134" s="13">
        <f t="shared" si="159"/>
        <v>2.5717320947985821E-13</v>
      </c>
      <c r="GX134" s="20">
        <f t="shared" si="136"/>
        <v>4.7153987257460977E-13</v>
      </c>
      <c r="GY134" s="59">
        <f t="shared" si="137"/>
        <v>293.33333333333377</v>
      </c>
      <c r="GZ134" s="59">
        <f ca="1">AVERAGE(OFFSET($GY$3,0,0,'Données projet'!$E$18+1,1))-AVERAGE(OFFSET($H$3,0,0,'Données projet'!$E$18+1,1))</f>
        <v>43.147469606759159</v>
      </c>
      <c r="HA134" s="59">
        <f t="shared" si="160"/>
        <v>147.46995307968473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4.8793712339125781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3.4616108367518294E-16</v>
      </c>
      <c r="HJ134" s="22">
        <f t="shared" si="138"/>
        <v>4.8793712339125781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2.8421709430404007E-14</v>
      </c>
      <c r="O135" s="13">
        <f>N135*VLOOKUP('Données projet'!$B$9,Paramètres!$A$1:$I$89,3,0)*VLOOKUP('Données projet'!$B$9,Paramètres!$A$1:$I$89,5,0)</f>
        <v>2.5715962692629544E-14</v>
      </c>
      <c r="P135" s="13">
        <f t="shared" si="141"/>
        <v>4.5248818890525812E-13</v>
      </c>
      <c r="Q135" s="20">
        <f t="shared" si="108"/>
        <v>8.3287223069965432E-13</v>
      </c>
      <c r="R135" s="59">
        <f t="shared" si="109"/>
        <v>293.33333333333417</v>
      </c>
      <c r="S135" s="59">
        <f ca="1">AVERAGE(OFFSET($R$3,0,0,'Données projet'!$E$9+1,1))-AVERAGE(OFFSET($H$3,0,0,'Données projet'!$E$9+1,1))</f>
        <v>138.8931001150624</v>
      </c>
      <c r="T135" s="59">
        <f t="shared" si="142"/>
        <v>48.964659354096625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-7.4487616075202836E-14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191.94797389630673</v>
      </c>
      <c r="AO135" s="59">
        <f t="shared" si="144"/>
        <v>273.52540822767878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0.83064754510431271</v>
      </c>
      <c r="AW135" s="21">
        <f>EXP(-LN(2)/2)*AW134+(1-EXP(-LN(2)/2))/(LN(2)/2)*AQ135*AT135*VLOOKUP('Données projet'!$B$10,Paramètres!$A$1:$I$89,3,0)*0.475*44/12</f>
        <v>1.0304229878097259E-14</v>
      </c>
      <c r="AX135" s="21">
        <f t="shared" si="114"/>
        <v>1.1721803814846896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3.5470293369144201E-14</v>
      </c>
      <c r="BF135" s="13">
        <f t="shared" si="145"/>
        <v>6.0119115841663204E-13</v>
      </c>
      <c r="BG135" s="20">
        <f t="shared" si="115"/>
        <v>1.1088520285268936E-12</v>
      </c>
      <c r="BH135" s="59">
        <f t="shared" si="116"/>
        <v>293.33333333333445</v>
      </c>
      <c r="BI135" s="59">
        <f ca="1">AVERAGE(OFFSET($BH$3,0,0,'Données projet'!$E$11+1,1))-AVERAGE(OFFSET($H$3,0,0,'Données projet'!$E$11+1,1))</f>
        <v>162.91481796710048</v>
      </c>
      <c r="BJ135" s="59">
        <f t="shared" si="146"/>
        <v>182.56192390367823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0.36894770021584972</v>
      </c>
      <c r="BQ135" s="21">
        <f>EXP(-LN(2)/25)*BQ134+(1-EXP(-LN(2)/25))/(LN(2)/25)*Calculateur!BL135*Calculateur!BN135*VLOOKUP('Données projet'!$B$11,Paramètres!$A$1:$I$89,3,0)*0.475*44/12</f>
        <v>0.90340214140373498</v>
      </c>
      <c r="BR135" s="21">
        <f>EXP(-LN(2)/2)*BR134+(1-EXP(-LN(2)/2))/(LN(2)/2)*BL135*BO135*VLOOKUP('Données projet'!$B$11,Paramètres!$A$1:$I$89,3,0)*0.475*44/12</f>
        <v>7.9801567157289016E-15</v>
      </c>
      <c r="BS135" s="22">
        <f t="shared" si="117"/>
        <v>1.2723498416195926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-5.3205440053716299E-14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123.60520571614535</v>
      </c>
      <c r="CE135" s="59">
        <f t="shared" si="148"/>
        <v>119.00926870519527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0.11504909312534431</v>
      </c>
      <c r="CL135" s="21">
        <f>EXP(-LN(2)/25)*CL134+(1-EXP(-LN(2)/25))/(LN(2)/25)*Calculateur!CG135*Calculateur!CI135*VLOOKUP('Données projet'!$B$12,Paramètres!$A$1:$I$89,3,0)*0.475*44/12</f>
        <v>0.28244303904575196</v>
      </c>
      <c r="CM135" s="21">
        <f>EXP(-LN(2)/2)*CM134+(1-EXP(-LN(2)/2))/(LN(2)/2)*CG135*CJ135*VLOOKUP('Données projet'!$B$12,Paramètres!$A$1:$I$89,3,0)*0.475*44/12</f>
        <v>2.7150328612368859E-15</v>
      </c>
      <c r="CN135" s="22">
        <f t="shared" si="120"/>
        <v>0.39749213217109897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2.9706370696658272E-14</v>
      </c>
      <c r="CV135" s="13">
        <f t="shared" si="149"/>
        <v>5.1399863782592153E-13</v>
      </c>
      <c r="CW135" s="20">
        <f t="shared" si="121"/>
        <v>9.4695288984349312E-13</v>
      </c>
      <c r="CX135" s="59">
        <f t="shared" si="122"/>
        <v>293.33333333333428</v>
      </c>
      <c r="CY135" s="59">
        <f ca="1">AVERAGE(OFFSET($CX$3,0,0,'Données projet'!$E$13+1,1))-AVERAGE(OFFSET($H$3,0,0,'Données projet'!$E$13+1,1))</f>
        <v>177.94336949486529</v>
      </c>
      <c r="CZ135" s="59">
        <f t="shared" si="150"/>
        <v>65.559373432574603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3.3992364478763198E-14</v>
      </c>
      <c r="DQ135" s="13">
        <f t="shared" si="151"/>
        <v>5.790027782444094E-13</v>
      </c>
      <c r="DR135" s="20">
        <f t="shared" si="124"/>
        <v>1.0676332069095257E-12</v>
      </c>
      <c r="DS135" s="59">
        <f t="shared" si="125"/>
        <v>293.33333333333439</v>
      </c>
      <c r="DT135" s="59">
        <f ca="1">AVERAGE(OFFSET($DS$3,0,0,'Données projet'!$E$14+1,1))-AVERAGE(OFFSET($H$3,0,0,'Données projet'!$E$14+1,1))</f>
        <v>165.39579887388538</v>
      </c>
      <c r="DU135" s="59">
        <f t="shared" si="152"/>
        <v>155.89639262545802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0.43100288261897635</v>
      </c>
      <c r="EC135" s="21">
        <f>EXP(-LN(2)/2)*EC134+(1-EXP(-LN(2)/2))/(LN(2)/2)*DW135*DZ135*VLOOKUP('Données projet'!$B$14,Paramètres!$A$1:$I$89,3,0)*0.475*44/12</f>
        <v>6.1639741024141833E-15</v>
      </c>
      <c r="ED135" s="22">
        <f t="shared" si="126"/>
        <v>0.43100288261898251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-1.1368683772161603E-12</v>
      </c>
      <c r="EK135" s="17">
        <f>EJ135*VLOOKUP('Données projet'!$B$15,Paramètres!$A$1:$I$89,3,0)*VLOOKUP('Données projet'!$B$15,Paramètres!$A$1:$I$89,5,0)</f>
        <v>-5.4683368944097316E-13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252.30925789500111</v>
      </c>
      <c r="EP135" s="59">
        <f t="shared" si="154"/>
        <v>213.96033794804805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0.61450106170623553</v>
      </c>
      <c r="EW135" s="21">
        <f>EXP(-LN(2)/25)*EW134+(1-EXP(-LN(2)/25))/(LN(2)/25)*Calculateur!ER135*Calculateur!ET135*VLOOKUP('Données projet'!$B$15,Paramètres!$A$1:$I$89,3,0)*0.475*44/12</f>
        <v>0.54566275163949352</v>
      </c>
      <c r="EX135" s="21">
        <f>EXP(-LN(2)/2)*EX134+(1-EXP(-LN(2)/2))/(LN(2)/2)*ER135*EU135*VLOOKUP('Données projet'!$B$15,Paramètres!$A$1:$I$89,3,0)*0.475*44/12</f>
        <v>6.3849097595314709E-15</v>
      </c>
      <c r="EY135" s="22">
        <f t="shared" si="129"/>
        <v>1.1601638133457355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-1.1368683772161603E-12</v>
      </c>
      <c r="FF135" s="17">
        <f>FE135*VLOOKUP('Données projet'!$B$16,Paramètres!$A$1:$I$89,3,0)*VLOOKUP('Données projet'!$B$16,Paramètres!$A$1:$I$89,5,0)</f>
        <v>-5.4683368944097316E-13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252.30925789500111</v>
      </c>
      <c r="FK135" s="59">
        <f t="shared" si="156"/>
        <v>213.96033794804805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0.61450106170623553</v>
      </c>
      <c r="FR135" s="21">
        <f>EXP(-LN(2)/25)*FR134+(1-EXP(-LN(2)/25))/(LN(2)/25)*Calculateur!FM135*Calculateur!FO135*VLOOKUP('Données projet'!$B$16,Paramètres!$A$1:$I$89,3,0)*0.475*44/12</f>
        <v>0.54566275163949352</v>
      </c>
      <c r="FS135" s="21">
        <f>EXP(-LN(2)/2)*FS134+(1-EXP(-LN(2)/2))/(LN(2)/2)*FM135*FP135*VLOOKUP('Données projet'!$B$16,Paramètres!$A$1:$I$89,3,0)*0.475*44/12</f>
        <v>6.3849097595314709E-15</v>
      </c>
      <c r="FT135" s="22">
        <f t="shared" si="132"/>
        <v>1.1601638133457355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117.54638373164624</v>
      </c>
      <c r="GF135" s="59">
        <f t="shared" si="158"/>
        <v>133.0740262536583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0.29346502175495359</v>
      </c>
      <c r="GM135" s="21">
        <f>EXP(-LN(2)/25)*GM134+(1-EXP(-LN(2)/25))/(LN(2)/25)*Calculateur!GH135*Calculateur!GJ135*VLOOKUP('Données projet'!$B$17,Paramètres!$A$1:$I$89,3,0)*0.475*44/12</f>
        <v>0.51179289701902808</v>
      </c>
      <c r="GN135" s="21">
        <f>EXP(-LN(2)/2)*GN134+(1-EXP(-LN(2)/2))/(LN(2)/2)*GH135*GK135*VLOOKUP('Données projet'!$B$17,Paramètres!$A$1:$I$89,3,0)*0.475*44/12</f>
        <v>1.7965729396060849E-15</v>
      </c>
      <c r="GO135" s="21">
        <f t="shared" si="135"/>
        <v>0.80525791877398345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2.8421709430404007E-14</v>
      </c>
      <c r="GV135" s="17">
        <f>GU135*VLOOKUP('Données projet'!$B$18,Paramètres!$A$1:$I$89,3,0)*VLOOKUP('Données projet'!$B$18,Paramètres!$A$1:$I$89,5,0)</f>
        <v>1.3567387213697657E-14</v>
      </c>
      <c r="GW135" s="13">
        <f t="shared" si="159"/>
        <v>2.5717320947985821E-13</v>
      </c>
      <c r="GX135" s="20">
        <f t="shared" si="136"/>
        <v>4.7153987257460977E-13</v>
      </c>
      <c r="GY135" s="59">
        <f t="shared" si="137"/>
        <v>293.33333333333377</v>
      </c>
      <c r="GZ135" s="59">
        <f ca="1">AVERAGE(OFFSET($GY$3,0,0,'Données projet'!$E$18+1,1))-AVERAGE(OFFSET($H$3,0,0,'Données projet'!$E$18+1,1))</f>
        <v>43.147469606759159</v>
      </c>
      <c r="HA135" s="59">
        <f t="shared" si="160"/>
        <v>147.46995307968473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4.7836897401381373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2.4477284964960575E-16</v>
      </c>
      <c r="HJ135" s="22">
        <f t="shared" si="138"/>
        <v>4.7836897401381373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2.8421709430404007E-14</v>
      </c>
      <c r="O136" s="13">
        <f>N136*VLOOKUP('Données projet'!$B$9,Paramètres!$A$1:$I$89,3,0)*VLOOKUP('Données projet'!$B$9,Paramètres!$A$1:$I$89,5,0)</f>
        <v>2.5715962692629544E-14</v>
      </c>
      <c r="P136" s="13">
        <f t="shared" si="141"/>
        <v>4.5248818890525812E-13</v>
      </c>
      <c r="Q136" s="20">
        <f t="shared" si="108"/>
        <v>8.3287223069965432E-13</v>
      </c>
      <c r="R136" s="59">
        <f t="shared" si="109"/>
        <v>293.33333333333417</v>
      </c>
      <c r="S136" s="59">
        <f ca="1">AVERAGE(OFFSET($R$3,0,0,'Données projet'!$E$9+1,1))-AVERAGE(OFFSET($H$3,0,0,'Données projet'!$E$9+1,1))</f>
        <v>138.8931001150624</v>
      </c>
      <c r="T136" s="59">
        <f t="shared" si="142"/>
        <v>48.964659354096625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-7.4487616075202836E-14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191.94797389630673</v>
      </c>
      <c r="AO136" s="59">
        <f t="shared" si="144"/>
        <v>273.52540822767878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0.80793344430157932</v>
      </c>
      <c r="AW136" s="21">
        <f>EXP(-LN(2)/2)*AW135+(1-EXP(-LN(2)/2))/(LN(2)/2)*AQ136*AT136*VLOOKUP('Données projet'!$B$10,Paramètres!$A$1:$I$89,3,0)*0.475*44/12</f>
        <v>7.2861908217076038E-15</v>
      </c>
      <c r="AX136" s="21">
        <f t="shared" si="114"/>
        <v>1.1427690300749951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3.5470293369144201E-14</v>
      </c>
      <c r="BF136" s="13">
        <f t="shared" si="145"/>
        <v>6.0119115841663204E-13</v>
      </c>
      <c r="BG136" s="20">
        <f t="shared" si="115"/>
        <v>1.1088520285268936E-12</v>
      </c>
      <c r="BH136" s="59">
        <f t="shared" si="116"/>
        <v>293.33333333333445</v>
      </c>
      <c r="BI136" s="59">
        <f ca="1">AVERAGE(OFFSET($BH$3,0,0,'Données projet'!$E$11+1,1))-AVERAGE(OFFSET($H$3,0,0,'Données projet'!$E$11+1,1))</f>
        <v>162.91481796710048</v>
      </c>
      <c r="BJ136" s="59">
        <f t="shared" si="146"/>
        <v>182.56192390367823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0.36171286085049359</v>
      </c>
      <c r="BQ136" s="21">
        <f>EXP(-LN(2)/25)*BQ135+(1-EXP(-LN(2)/25))/(LN(2)/25)*Calculateur!BL136*Calculateur!BN136*VLOOKUP('Données projet'!$B$11,Paramètres!$A$1:$I$89,3,0)*0.475*44/12</f>
        <v>0.87869856233919597</v>
      </c>
      <c r="BR136" s="21">
        <f>EXP(-LN(2)/2)*BR135+(1-EXP(-LN(2)/2))/(LN(2)/2)*BL136*BO136*VLOOKUP('Données projet'!$B$11,Paramètres!$A$1:$I$89,3,0)*0.475*44/12</f>
        <v>5.6428229286232743E-15</v>
      </c>
      <c r="BS136" s="22">
        <f t="shared" si="117"/>
        <v>1.240411423189695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-5.3205440053716299E-14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123.60520571614535</v>
      </c>
      <c r="CE136" s="59">
        <f t="shared" si="148"/>
        <v>119.00926870519527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0.11279305058217411</v>
      </c>
      <c r="CL136" s="21">
        <f>EXP(-LN(2)/25)*CL135+(1-EXP(-LN(2)/25))/(LN(2)/25)*Calculateur!CG136*Calculateur!CI136*VLOOKUP('Données projet'!$B$12,Paramètres!$A$1:$I$89,3,0)*0.475*44/12</f>
        <v>0.27471961929001198</v>
      </c>
      <c r="CM136" s="21">
        <f>EXP(-LN(2)/2)*CM135+(1-EXP(-LN(2)/2))/(LN(2)/2)*CG136*CJ136*VLOOKUP('Données projet'!$B$12,Paramètres!$A$1:$I$89,3,0)*0.475*44/12</f>
        <v>1.9198181473249167E-15</v>
      </c>
      <c r="CN136" s="22">
        <f t="shared" si="120"/>
        <v>0.38751266987218802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2.9706370696658272E-14</v>
      </c>
      <c r="CV136" s="13">
        <f t="shared" si="149"/>
        <v>5.1399863782592153E-13</v>
      </c>
      <c r="CW136" s="20">
        <f t="shared" si="121"/>
        <v>9.4695288984349312E-13</v>
      </c>
      <c r="CX136" s="59">
        <f t="shared" si="122"/>
        <v>293.33333333333428</v>
      </c>
      <c r="CY136" s="59">
        <f ca="1">AVERAGE(OFFSET($CX$3,0,0,'Données projet'!$E$13+1,1))-AVERAGE(OFFSET($H$3,0,0,'Données projet'!$E$13+1,1))</f>
        <v>177.94336949486529</v>
      </c>
      <c r="CZ136" s="59">
        <f t="shared" si="150"/>
        <v>65.559373432574603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3.3992364478763198E-14</v>
      </c>
      <c r="DQ136" s="13">
        <f t="shared" si="151"/>
        <v>5.790027782444094E-13</v>
      </c>
      <c r="DR136" s="20">
        <f t="shared" si="124"/>
        <v>1.0676332069095257E-12</v>
      </c>
      <c r="DS136" s="59">
        <f t="shared" si="125"/>
        <v>293.33333333333439</v>
      </c>
      <c r="DT136" s="59">
        <f ca="1">AVERAGE(OFFSET($DS$3,0,0,'Données projet'!$E$14+1,1))-AVERAGE(OFFSET($H$3,0,0,'Données projet'!$E$14+1,1))</f>
        <v>165.39579887388538</v>
      </c>
      <c r="DU136" s="59">
        <f t="shared" si="152"/>
        <v>155.89639262545802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0.41921708612830388</v>
      </c>
      <c r="EC136" s="21">
        <f>EXP(-LN(2)/2)*EC135+(1-EXP(-LN(2)/2))/(LN(2)/2)*DW136*DZ136*VLOOKUP('Données projet'!$B$14,Paramètres!$A$1:$I$89,3,0)*0.475*44/12</f>
        <v>4.3585878868753315E-15</v>
      </c>
      <c r="ED136" s="22">
        <f t="shared" si="126"/>
        <v>0.41921708612830827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-1.1368683772161603E-12</v>
      </c>
      <c r="EK136" s="17">
        <f>EJ136*VLOOKUP('Données projet'!$B$15,Paramètres!$A$1:$I$89,3,0)*VLOOKUP('Données projet'!$B$15,Paramètres!$A$1:$I$89,5,0)</f>
        <v>-5.4683368944097316E-13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252.30925789500111</v>
      </c>
      <c r="EP136" s="59">
        <f t="shared" si="154"/>
        <v>213.96033794804805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0.60245107069481463</v>
      </c>
      <c r="EW136" s="21">
        <f>EXP(-LN(2)/25)*EW135+(1-EXP(-LN(2)/25))/(LN(2)/25)*Calculateur!ER136*Calculateur!ET136*VLOOKUP('Données projet'!$B$15,Paramètres!$A$1:$I$89,3,0)*0.475*44/12</f>
        <v>0.53074157500075458</v>
      </c>
      <c r="EX136" s="21">
        <f>EXP(-LN(2)/2)*EX135+(1-EXP(-LN(2)/2))/(LN(2)/2)*ER136*EU136*VLOOKUP('Données projet'!$B$15,Paramètres!$A$1:$I$89,3,0)*0.475*44/12</f>
        <v>4.5148129882288715E-15</v>
      </c>
      <c r="EY136" s="22">
        <f t="shared" si="129"/>
        <v>1.1331926456955737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-1.1368683772161603E-12</v>
      </c>
      <c r="FF136" s="17">
        <f>FE136*VLOOKUP('Données projet'!$B$16,Paramètres!$A$1:$I$89,3,0)*VLOOKUP('Données projet'!$B$16,Paramètres!$A$1:$I$89,5,0)</f>
        <v>-5.4683368944097316E-13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252.30925789500111</v>
      </c>
      <c r="FK136" s="59">
        <f t="shared" si="156"/>
        <v>213.96033794804805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0.60245107069481463</v>
      </c>
      <c r="FR136" s="21">
        <f>EXP(-LN(2)/25)*FR135+(1-EXP(-LN(2)/25))/(LN(2)/25)*Calculateur!FM136*Calculateur!FO136*VLOOKUP('Données projet'!$B$16,Paramètres!$A$1:$I$89,3,0)*0.475*44/12</f>
        <v>0.53074157500075458</v>
      </c>
      <c r="FS136" s="21">
        <f>EXP(-LN(2)/2)*FS135+(1-EXP(-LN(2)/2))/(LN(2)/2)*FM136*FP136*VLOOKUP('Données projet'!$B$16,Paramètres!$A$1:$I$89,3,0)*0.475*44/12</f>
        <v>4.5148129882288715E-15</v>
      </c>
      <c r="FT136" s="22">
        <f t="shared" si="132"/>
        <v>1.1331926456955737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117.54638373164624</v>
      </c>
      <c r="GF136" s="59">
        <f t="shared" si="158"/>
        <v>133.0740262536583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0.28771035167432785</v>
      </c>
      <c r="GM136" s="21">
        <f>EXP(-LN(2)/25)*GM135+(1-EXP(-LN(2)/25))/(LN(2)/25)*Calculateur!GH136*Calculateur!GJ136*VLOOKUP('Données projet'!$B$17,Paramètres!$A$1:$I$89,3,0)*0.475*44/12</f>
        <v>0.49779789333602403</v>
      </c>
      <c r="GN136" s="21">
        <f>EXP(-LN(2)/2)*GN135+(1-EXP(-LN(2)/2))/(LN(2)/2)*GH136*GK136*VLOOKUP('Données projet'!$B$17,Paramètres!$A$1:$I$89,3,0)*0.475*44/12</f>
        <v>1.2703689084917123E-15</v>
      </c>
      <c r="GO136" s="21">
        <f t="shared" si="135"/>
        <v>0.7855082450103531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2.8421709430404007E-14</v>
      </c>
      <c r="GV136" s="17">
        <f>GU136*VLOOKUP('Données projet'!$B$18,Paramètres!$A$1:$I$89,3,0)*VLOOKUP('Données projet'!$B$18,Paramètres!$A$1:$I$89,5,0)</f>
        <v>1.3567387213697657E-14</v>
      </c>
      <c r="GW136" s="13">
        <f t="shared" si="159"/>
        <v>2.5717320947985821E-13</v>
      </c>
      <c r="GX136" s="20">
        <f t="shared" si="136"/>
        <v>4.7153987257460977E-13</v>
      </c>
      <c r="GY136" s="59">
        <f t="shared" si="137"/>
        <v>293.33333333333377</v>
      </c>
      <c r="GZ136" s="59">
        <f ca="1">AVERAGE(OFFSET($GY$3,0,0,'Données projet'!$E$18+1,1))-AVERAGE(OFFSET($H$3,0,0,'Données projet'!$E$18+1,1))</f>
        <v>43.147469606759159</v>
      </c>
      <c r="HA136" s="59">
        <f t="shared" si="160"/>
        <v>147.46995307968473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4.6898845020966649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1.7308054183759147E-16</v>
      </c>
      <c r="HJ136" s="22">
        <f t="shared" si="138"/>
        <v>4.6898845020966649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2.8421709430404007E-14</v>
      </c>
      <c r="O137" s="13">
        <f>N137*VLOOKUP('Données projet'!$B$9,Paramètres!$A$1:$I$89,3,0)*VLOOKUP('Données projet'!$B$9,Paramètres!$A$1:$I$89,5,0)</f>
        <v>2.5715962692629544E-14</v>
      </c>
      <c r="P137" s="13">
        <f t="shared" si="141"/>
        <v>4.5248818890525812E-13</v>
      </c>
      <c r="Q137" s="20">
        <f t="shared" si="108"/>
        <v>8.3287223069965432E-13</v>
      </c>
      <c r="R137" s="59">
        <f t="shared" si="109"/>
        <v>293.33333333333417</v>
      </c>
      <c r="S137" s="59">
        <f ca="1">AVERAGE(OFFSET($R$3,0,0,'Données projet'!$E$9+1,1))-AVERAGE(OFFSET($H$3,0,0,'Données projet'!$E$9+1,1))</f>
        <v>138.8931001150624</v>
      </c>
      <c r="T137" s="59">
        <f t="shared" si="142"/>
        <v>48.964659354096625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-7.4487616075202836E-14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191.94797389630673</v>
      </c>
      <c r="AO137" s="59">
        <f t="shared" si="144"/>
        <v>273.52540822767878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0.7858404617797794</v>
      </c>
      <c r="AW137" s="21">
        <f>EXP(-LN(2)/2)*AW136+(1-EXP(-LN(2)/2))/(LN(2)/2)*AQ137*AT137*VLOOKUP('Données projet'!$B$10,Paramètres!$A$1:$I$89,3,0)*0.475*44/12</f>
        <v>5.1521149390486297E-15</v>
      </c>
      <c r="AX137" s="21">
        <f t="shared" si="114"/>
        <v>1.1141101259457178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3.5470293369144201E-14</v>
      </c>
      <c r="BF137" s="13">
        <f t="shared" si="145"/>
        <v>6.0119115841663204E-13</v>
      </c>
      <c r="BG137" s="20">
        <f t="shared" si="115"/>
        <v>1.1088520285268936E-12</v>
      </c>
      <c r="BH137" s="59">
        <f t="shared" si="116"/>
        <v>293.33333333333445</v>
      </c>
      <c r="BI137" s="59">
        <f ca="1">AVERAGE(OFFSET($BH$3,0,0,'Données projet'!$E$11+1,1))-AVERAGE(OFFSET($H$3,0,0,'Données projet'!$E$11+1,1))</f>
        <v>162.91481796710048</v>
      </c>
      <c r="BJ137" s="59">
        <f t="shared" si="146"/>
        <v>182.56192390367823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0.35461989227227581</v>
      </c>
      <c r="BQ137" s="21">
        <f>EXP(-LN(2)/25)*BQ136+(1-EXP(-LN(2)/25))/(LN(2)/25)*Calculateur!BL137*Calculateur!BN137*VLOOKUP('Données projet'!$B$11,Paramètres!$A$1:$I$89,3,0)*0.475*44/12</f>
        <v>0.85467050394328159</v>
      </c>
      <c r="BR137" s="21">
        <f>EXP(-LN(2)/2)*BR136+(1-EXP(-LN(2)/2))/(LN(2)/2)*BL137*BO137*VLOOKUP('Données projet'!$B$11,Paramètres!$A$1:$I$89,3,0)*0.475*44/12</f>
        <v>3.9900783578644508E-15</v>
      </c>
      <c r="BS137" s="22">
        <f t="shared" si="117"/>
        <v>1.2092903962155614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-5.3205440053716299E-14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123.60520571614535</v>
      </c>
      <c r="CE137" s="59">
        <f t="shared" si="148"/>
        <v>119.00926870519527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0.11058124765722539</v>
      </c>
      <c r="CL137" s="21">
        <f>EXP(-LN(2)/25)*CL136+(1-EXP(-LN(2)/25))/(LN(2)/25)*Calculateur!CG137*Calculateur!CI137*VLOOKUP('Données projet'!$B$12,Paramètres!$A$1:$I$89,3,0)*0.475*44/12</f>
        <v>0.26720739685364969</v>
      </c>
      <c r="CM137" s="21">
        <f>EXP(-LN(2)/2)*CM136+(1-EXP(-LN(2)/2))/(LN(2)/2)*CG137*CJ137*VLOOKUP('Données projet'!$B$12,Paramètres!$A$1:$I$89,3,0)*0.475*44/12</f>
        <v>1.357516430618443E-15</v>
      </c>
      <c r="CN137" s="22">
        <f t="shared" si="120"/>
        <v>0.3777886445108764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2.9706370696658272E-14</v>
      </c>
      <c r="CV137" s="13">
        <f t="shared" si="149"/>
        <v>5.1399863782592153E-13</v>
      </c>
      <c r="CW137" s="20">
        <f t="shared" si="121"/>
        <v>9.4695288984349312E-13</v>
      </c>
      <c r="CX137" s="59">
        <f t="shared" si="122"/>
        <v>293.33333333333428</v>
      </c>
      <c r="CY137" s="59">
        <f ca="1">AVERAGE(OFFSET($CX$3,0,0,'Données projet'!$E$13+1,1))-AVERAGE(OFFSET($H$3,0,0,'Données projet'!$E$13+1,1))</f>
        <v>177.94336949486529</v>
      </c>
      <c r="CZ137" s="59">
        <f t="shared" si="150"/>
        <v>65.559373432574603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3.3992364478763198E-14</v>
      </c>
      <c r="DQ137" s="13">
        <f t="shared" si="151"/>
        <v>5.790027782444094E-13</v>
      </c>
      <c r="DR137" s="20">
        <f t="shared" si="124"/>
        <v>1.0676332069095257E-12</v>
      </c>
      <c r="DS137" s="59">
        <f t="shared" si="125"/>
        <v>293.33333333333439</v>
      </c>
      <c r="DT137" s="59">
        <f ca="1">AVERAGE(OFFSET($DS$3,0,0,'Données projet'!$E$14+1,1))-AVERAGE(OFFSET($H$3,0,0,'Données projet'!$E$14+1,1))</f>
        <v>165.39579887388538</v>
      </c>
      <c r="DU137" s="59">
        <f t="shared" si="152"/>
        <v>155.89639262545802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0.407753572862457</v>
      </c>
      <c r="EC137" s="21">
        <f>EXP(-LN(2)/2)*EC136+(1-EXP(-LN(2)/2))/(LN(2)/2)*DW137*DZ137*VLOOKUP('Données projet'!$B$14,Paramètres!$A$1:$I$89,3,0)*0.475*44/12</f>
        <v>3.0819870512070916E-15</v>
      </c>
      <c r="ED137" s="22">
        <f t="shared" si="126"/>
        <v>0.40775357286246011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-1.1368683772161603E-12</v>
      </c>
      <c r="EK137" s="17">
        <f>EJ137*VLOOKUP('Données projet'!$B$15,Paramètres!$A$1:$I$89,3,0)*VLOOKUP('Données projet'!$B$15,Paramètres!$A$1:$I$89,5,0)</f>
        <v>-5.4683368944097316E-13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252.30925789500111</v>
      </c>
      <c r="EP137" s="59">
        <f t="shared" si="154"/>
        <v>213.96033794804805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0.59063737265735894</v>
      </c>
      <c r="EW137" s="21">
        <f>EXP(-LN(2)/25)*EW136+(1-EXP(-LN(2)/25))/(LN(2)/25)*Calculateur!ER137*Calculateur!ET137*VLOOKUP('Données projet'!$B$15,Paramètres!$A$1:$I$89,3,0)*0.475*44/12</f>
        <v>0.51622841872187253</v>
      </c>
      <c r="EX137" s="21">
        <f>EXP(-LN(2)/2)*EX136+(1-EXP(-LN(2)/2))/(LN(2)/2)*ER137*EU137*VLOOKUP('Données projet'!$B$15,Paramètres!$A$1:$I$89,3,0)*0.475*44/12</f>
        <v>3.1924548797657355E-15</v>
      </c>
      <c r="EY137" s="22">
        <f t="shared" si="129"/>
        <v>1.1068657913792346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-1.1368683772161603E-12</v>
      </c>
      <c r="FF137" s="17">
        <f>FE137*VLOOKUP('Données projet'!$B$16,Paramètres!$A$1:$I$89,3,0)*VLOOKUP('Données projet'!$B$16,Paramètres!$A$1:$I$89,5,0)</f>
        <v>-5.4683368944097316E-13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252.30925789500111</v>
      </c>
      <c r="FK137" s="59">
        <f t="shared" si="156"/>
        <v>213.96033794804805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0.59063737265735894</v>
      </c>
      <c r="FR137" s="21">
        <f>EXP(-LN(2)/25)*FR136+(1-EXP(-LN(2)/25))/(LN(2)/25)*Calculateur!FM137*Calculateur!FO137*VLOOKUP('Données projet'!$B$16,Paramètres!$A$1:$I$89,3,0)*0.475*44/12</f>
        <v>0.51622841872187253</v>
      </c>
      <c r="FS137" s="21">
        <f>EXP(-LN(2)/2)*FS136+(1-EXP(-LN(2)/2))/(LN(2)/2)*FM137*FP137*VLOOKUP('Données projet'!$B$16,Paramètres!$A$1:$I$89,3,0)*0.475*44/12</f>
        <v>3.1924548797657355E-15</v>
      </c>
      <c r="FT137" s="22">
        <f t="shared" si="132"/>
        <v>1.1068657913792346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117.54638373164624</v>
      </c>
      <c r="GF137" s="59">
        <f t="shared" si="158"/>
        <v>133.0740262536583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0.28206852716398101</v>
      </c>
      <c r="GM137" s="21">
        <f>EXP(-LN(2)/25)*GM136+(1-EXP(-LN(2)/25))/(LN(2)/25)*Calculateur!GH137*Calculateur!GJ137*VLOOKUP('Données projet'!$B$17,Paramètres!$A$1:$I$89,3,0)*0.475*44/12</f>
        <v>0.484185583764697</v>
      </c>
      <c r="GN137" s="21">
        <f>EXP(-LN(2)/2)*GN136+(1-EXP(-LN(2)/2))/(LN(2)/2)*GH137*GK137*VLOOKUP('Données projet'!$B$17,Paramètres!$A$1:$I$89,3,0)*0.475*44/12</f>
        <v>8.9828646980304243E-16</v>
      </c>
      <c r="GO137" s="21">
        <f t="shared" si="135"/>
        <v>0.7662541109286789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2.8421709430404007E-14</v>
      </c>
      <c r="GV137" s="17">
        <f>GU137*VLOOKUP('Données projet'!$B$18,Paramètres!$A$1:$I$89,3,0)*VLOOKUP('Données projet'!$B$18,Paramètres!$A$1:$I$89,5,0)</f>
        <v>1.3567387213697657E-14</v>
      </c>
      <c r="GW137" s="13">
        <f t="shared" si="159"/>
        <v>2.5717320947985821E-13</v>
      </c>
      <c r="GX137" s="20">
        <f t="shared" si="136"/>
        <v>4.7153987257460977E-13</v>
      </c>
      <c r="GY137" s="59">
        <f t="shared" si="137"/>
        <v>293.33333333333377</v>
      </c>
      <c r="GZ137" s="59">
        <f ca="1">AVERAGE(OFFSET($GY$3,0,0,'Données projet'!$E$18+1,1))-AVERAGE(OFFSET($H$3,0,0,'Données projet'!$E$18+1,1))</f>
        <v>43.147469606759159</v>
      </c>
      <c r="HA137" s="59">
        <f t="shared" si="160"/>
        <v>147.46995307968473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4.5979187275576399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1.2238642482480287E-16</v>
      </c>
      <c r="HJ137" s="22">
        <f t="shared" si="138"/>
        <v>4.5979187275576399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2.8421709430404007E-14</v>
      </c>
      <c r="O138" s="13">
        <f>N138*VLOOKUP('Données projet'!$B$9,Paramètres!$A$1:$I$89,3,0)*VLOOKUP('Données projet'!$B$9,Paramètres!$A$1:$I$89,5,0)</f>
        <v>2.5715962692629544E-14</v>
      </c>
      <c r="P138" s="13">
        <f t="shared" si="141"/>
        <v>4.5248818890525812E-13</v>
      </c>
      <c r="Q138" s="20">
        <f t="shared" si="108"/>
        <v>8.3287223069965432E-13</v>
      </c>
      <c r="R138" s="59">
        <f t="shared" si="109"/>
        <v>293.33333333333417</v>
      </c>
      <c r="S138" s="59">
        <f ca="1">AVERAGE(OFFSET($R$3,0,0,'Données projet'!$E$9+1,1))-AVERAGE(OFFSET($H$3,0,0,'Données projet'!$E$9+1,1))</f>
        <v>138.8931001150624</v>
      </c>
      <c r="T138" s="59">
        <f t="shared" si="142"/>
        <v>48.964659354096625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-7.4487616075202836E-14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191.94797389630673</v>
      </c>
      <c r="AO138" s="59">
        <f t="shared" si="144"/>
        <v>273.52540822767878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0.7643516130268575</v>
      </c>
      <c r="AW138" s="21">
        <f>EXP(-LN(2)/2)*AW137+(1-EXP(-LN(2)/2))/(LN(2)/2)*AQ138*AT138*VLOOKUP('Données projet'!$B$10,Paramètres!$A$1:$I$89,3,0)*0.475*44/12</f>
        <v>3.6430954108538019E-15</v>
      </c>
      <c r="AX138" s="21">
        <f t="shared" si="114"/>
        <v>1.086184109303225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3.5470293369144201E-14</v>
      </c>
      <c r="BF138" s="13">
        <f t="shared" si="145"/>
        <v>6.0119115841663204E-13</v>
      </c>
      <c r="BG138" s="20">
        <f t="shared" si="115"/>
        <v>1.1088520285268936E-12</v>
      </c>
      <c r="BH138" s="59">
        <f t="shared" si="116"/>
        <v>293.33333333333445</v>
      </c>
      <c r="BI138" s="59">
        <f ca="1">AVERAGE(OFFSET($BH$3,0,0,'Données projet'!$E$11+1,1))-AVERAGE(OFFSET($H$3,0,0,'Données projet'!$E$11+1,1))</f>
        <v>162.91481796710048</v>
      </c>
      <c r="BJ138" s="59">
        <f t="shared" si="146"/>
        <v>182.56192390367823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0.34766601248159323</v>
      </c>
      <c r="BQ138" s="21">
        <f>EXP(-LN(2)/25)*BQ137+(1-EXP(-LN(2)/25))/(LN(2)/25)*Calculateur!BL138*Calculateur!BN138*VLOOKUP('Données projet'!$B$11,Paramètres!$A$1:$I$89,3,0)*0.475*44/12</f>
        <v>0.83129949406778414</v>
      </c>
      <c r="BR138" s="21">
        <f>EXP(-LN(2)/2)*BR137+(1-EXP(-LN(2)/2))/(LN(2)/2)*BL138*BO138*VLOOKUP('Données projet'!$B$11,Paramètres!$A$1:$I$89,3,0)*0.475*44/12</f>
        <v>2.8214114643116372E-15</v>
      </c>
      <c r="BS138" s="22">
        <f t="shared" si="117"/>
        <v>1.1789655065493803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-5.3205440053716299E-14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123.60520571614535</v>
      </c>
      <c r="CE138" s="59">
        <f t="shared" si="148"/>
        <v>119.00926870519527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0.10841281683856835</v>
      </c>
      <c r="CL138" s="21">
        <f>EXP(-LN(2)/25)*CL137+(1-EXP(-LN(2)/25))/(LN(2)/25)*Calculateur!CG138*Calculateur!CI138*VLOOKUP('Données projet'!$B$12,Paramètres!$A$1:$I$89,3,0)*0.475*44/12</f>
        <v>0.25990059653486036</v>
      </c>
      <c r="CM138" s="21">
        <f>EXP(-LN(2)/2)*CM137+(1-EXP(-LN(2)/2))/(LN(2)/2)*CG138*CJ138*VLOOKUP('Données projet'!$B$12,Paramètres!$A$1:$I$89,3,0)*0.475*44/12</f>
        <v>9.5990907366245835E-16</v>
      </c>
      <c r="CN138" s="22">
        <f t="shared" si="120"/>
        <v>0.36831341337342965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2.9706370696658272E-14</v>
      </c>
      <c r="CV138" s="13">
        <f t="shared" si="149"/>
        <v>5.1399863782592153E-13</v>
      </c>
      <c r="CW138" s="20">
        <f t="shared" si="121"/>
        <v>9.4695288984349312E-13</v>
      </c>
      <c r="CX138" s="59">
        <f t="shared" si="122"/>
        <v>293.33333333333428</v>
      </c>
      <c r="CY138" s="59">
        <f ca="1">AVERAGE(OFFSET($CX$3,0,0,'Données projet'!$E$13+1,1))-AVERAGE(OFFSET($H$3,0,0,'Données projet'!$E$13+1,1))</f>
        <v>177.94336949486529</v>
      </c>
      <c r="CZ138" s="59">
        <f t="shared" si="150"/>
        <v>65.559373432574603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3.3992364478763198E-14</v>
      </c>
      <c r="DQ138" s="13">
        <f t="shared" si="151"/>
        <v>5.790027782444094E-13</v>
      </c>
      <c r="DR138" s="20">
        <f t="shared" si="124"/>
        <v>1.0676332069095257E-12</v>
      </c>
      <c r="DS138" s="59">
        <f t="shared" si="125"/>
        <v>293.33333333333439</v>
      </c>
      <c r="DT138" s="59">
        <f ca="1">AVERAGE(OFFSET($DS$3,0,0,'Données projet'!$E$14+1,1))-AVERAGE(OFFSET($H$3,0,0,'Données projet'!$E$14+1,1))</f>
        <v>165.39579887388538</v>
      </c>
      <c r="DU138" s="59">
        <f t="shared" si="152"/>
        <v>155.89639262545802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0.39660352996970466</v>
      </c>
      <c r="EC138" s="21">
        <f>EXP(-LN(2)/2)*EC137+(1-EXP(-LN(2)/2))/(LN(2)/2)*DW138*DZ138*VLOOKUP('Données projet'!$B$14,Paramètres!$A$1:$I$89,3,0)*0.475*44/12</f>
        <v>2.1792939434376657E-15</v>
      </c>
      <c r="ED138" s="22">
        <f t="shared" si="126"/>
        <v>0.39660352996970683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-1.1368683772161603E-12</v>
      </c>
      <c r="EK138" s="17">
        <f>EJ138*VLOOKUP('Données projet'!$B$15,Paramètres!$A$1:$I$89,3,0)*VLOOKUP('Données projet'!$B$15,Paramètres!$A$1:$I$89,5,0)</f>
        <v>-5.4683368944097316E-13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252.30925789500111</v>
      </c>
      <c r="EP138" s="59">
        <f t="shared" si="154"/>
        <v>213.96033794804805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0.57905533403277343</v>
      </c>
      <c r="EW138" s="21">
        <f>EXP(-LN(2)/25)*EW137+(1-EXP(-LN(2)/25))/(LN(2)/25)*Calculateur!ER138*Calculateur!ET138*VLOOKUP('Données projet'!$B$15,Paramètres!$A$1:$I$89,3,0)*0.475*44/12</f>
        <v>0.50211212546465023</v>
      </c>
      <c r="EX138" s="21">
        <f>EXP(-LN(2)/2)*EX137+(1-EXP(-LN(2)/2))/(LN(2)/2)*ER138*EU138*VLOOKUP('Données projet'!$B$15,Paramètres!$A$1:$I$89,3,0)*0.475*44/12</f>
        <v>2.2574064941144358E-15</v>
      </c>
      <c r="EY138" s="22">
        <f t="shared" si="129"/>
        <v>1.0811674594974259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-1.1368683772161603E-12</v>
      </c>
      <c r="FF138" s="17">
        <f>FE138*VLOOKUP('Données projet'!$B$16,Paramètres!$A$1:$I$89,3,0)*VLOOKUP('Données projet'!$B$16,Paramètres!$A$1:$I$89,5,0)</f>
        <v>-5.4683368944097316E-13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252.30925789500111</v>
      </c>
      <c r="FK138" s="59">
        <f t="shared" si="156"/>
        <v>213.96033794804805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0.57905533403277343</v>
      </c>
      <c r="FR138" s="21">
        <f>EXP(-LN(2)/25)*FR137+(1-EXP(-LN(2)/25))/(LN(2)/25)*Calculateur!FM138*Calculateur!FO138*VLOOKUP('Données projet'!$B$16,Paramètres!$A$1:$I$89,3,0)*0.475*44/12</f>
        <v>0.50211212546465023</v>
      </c>
      <c r="FS138" s="21">
        <f>EXP(-LN(2)/2)*FS137+(1-EXP(-LN(2)/2))/(LN(2)/2)*FM138*FP138*VLOOKUP('Données projet'!$B$16,Paramètres!$A$1:$I$89,3,0)*0.475*44/12</f>
        <v>2.2574064941144358E-15</v>
      </c>
      <c r="FT138" s="22">
        <f t="shared" si="132"/>
        <v>1.0811674594974259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117.54638373164624</v>
      </c>
      <c r="GF138" s="59">
        <f t="shared" si="158"/>
        <v>133.0740262536583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0.27653733539110892</v>
      </c>
      <c r="GM138" s="21">
        <f>EXP(-LN(2)/25)*GM137+(1-EXP(-LN(2)/25))/(LN(2)/25)*Calculateur!GH138*Calculateur!GJ138*VLOOKUP('Données projet'!$B$17,Paramètres!$A$1:$I$89,3,0)*0.475*44/12</f>
        <v>0.47094550351443815</v>
      </c>
      <c r="GN138" s="21">
        <f>EXP(-LN(2)/2)*GN137+(1-EXP(-LN(2)/2))/(LN(2)/2)*GH138*GK138*VLOOKUP('Données projet'!$B$17,Paramètres!$A$1:$I$89,3,0)*0.475*44/12</f>
        <v>6.3518445424585616E-16</v>
      </c>
      <c r="GO138" s="21">
        <f t="shared" si="135"/>
        <v>0.74748283890554768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2.8421709430404007E-14</v>
      </c>
      <c r="GV138" s="17">
        <f>GU138*VLOOKUP('Données projet'!$B$18,Paramètres!$A$1:$I$89,3,0)*VLOOKUP('Données projet'!$B$18,Paramètres!$A$1:$I$89,5,0)</f>
        <v>1.3567387213697657E-14</v>
      </c>
      <c r="GW138" s="13">
        <f t="shared" si="159"/>
        <v>2.5717320947985821E-13</v>
      </c>
      <c r="GX138" s="20">
        <f t="shared" si="136"/>
        <v>4.7153987257460977E-13</v>
      </c>
      <c r="GY138" s="59">
        <f t="shared" si="137"/>
        <v>293.33333333333377</v>
      </c>
      <c r="GZ138" s="59">
        <f ca="1">AVERAGE(OFFSET($GY$3,0,0,'Données projet'!$E$18+1,1))-AVERAGE(OFFSET($H$3,0,0,'Données projet'!$E$18+1,1))</f>
        <v>43.147469606759159</v>
      </c>
      <c r="HA138" s="59">
        <f t="shared" si="160"/>
        <v>147.46995307968473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4.5077563457637417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8.6540270918795736E-17</v>
      </c>
      <c r="HJ138" s="22">
        <f t="shared" si="138"/>
        <v>4.5077563457637417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2.8421709430404007E-14</v>
      </c>
      <c r="O139" s="13">
        <f>N139*VLOOKUP('Données projet'!$B$9,Paramètres!$A$1:$I$89,3,0)*VLOOKUP('Données projet'!$B$9,Paramètres!$A$1:$I$89,5,0)</f>
        <v>2.5715962692629544E-14</v>
      </c>
      <c r="P139" s="13">
        <f t="shared" si="141"/>
        <v>4.5248818890525812E-13</v>
      </c>
      <c r="Q139" s="20">
        <f t="shared" si="108"/>
        <v>8.3287223069965432E-13</v>
      </c>
      <c r="R139" s="59">
        <f t="shared" si="109"/>
        <v>293.33333333333417</v>
      </c>
      <c r="S139" s="59">
        <f ca="1">AVERAGE(OFFSET($R$3,0,0,'Données projet'!$E$9+1,1))-AVERAGE(OFFSET($H$3,0,0,'Données projet'!$E$9+1,1))</f>
        <v>138.8931001150624</v>
      </c>
      <c r="T139" s="59">
        <f t="shared" si="142"/>
        <v>48.964659354096625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-7.4487616075202836E-14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191.94797389630673</v>
      </c>
      <c r="AO139" s="59">
        <f t="shared" si="144"/>
        <v>273.52540822767878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0.74345037797313374</v>
      </c>
      <c r="AW139" s="21">
        <f>EXP(-LN(2)/2)*AW138+(1-EXP(-LN(2)/2))/(LN(2)/2)*AQ139*AT139*VLOOKUP('Données projet'!$B$10,Paramètres!$A$1:$I$89,3,0)*0.475*44/12</f>
        <v>2.5760574695243149E-15</v>
      </c>
      <c r="AX139" s="21">
        <f t="shared" si="114"/>
        <v>1.0589719352959608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3.5470293369144201E-14</v>
      </c>
      <c r="BF139" s="13">
        <f t="shared" si="145"/>
        <v>6.0119115841663204E-13</v>
      </c>
      <c r="BG139" s="20">
        <f t="shared" si="115"/>
        <v>1.1088520285268936E-12</v>
      </c>
      <c r="BH139" s="59">
        <f t="shared" si="116"/>
        <v>293.33333333333445</v>
      </c>
      <c r="BI139" s="59">
        <f ca="1">AVERAGE(OFFSET($BH$3,0,0,'Données projet'!$E$11+1,1))-AVERAGE(OFFSET($H$3,0,0,'Données projet'!$E$11+1,1))</f>
        <v>162.91481796710048</v>
      </c>
      <c r="BJ139" s="59">
        <f t="shared" si="146"/>
        <v>182.56192390367823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0.34084849403215806</v>
      </c>
      <c r="BQ139" s="21">
        <f>EXP(-LN(2)/25)*BQ138+(1-EXP(-LN(2)/25))/(LN(2)/25)*Calculateur!BL139*Calculateur!BN139*VLOOKUP('Données projet'!$B$11,Paramètres!$A$1:$I$89,3,0)*0.475*44/12</f>
        <v>0.80856756568636012</v>
      </c>
      <c r="BR139" s="21">
        <f>EXP(-LN(2)/2)*BR138+(1-EXP(-LN(2)/2))/(LN(2)/2)*BL139*BO139*VLOOKUP('Données projet'!$B$11,Paramètres!$A$1:$I$89,3,0)*0.475*44/12</f>
        <v>1.9950391789322254E-15</v>
      </c>
      <c r="BS139" s="22">
        <f t="shared" si="117"/>
        <v>1.1494160597185201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-5.3205440053716299E-14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123.60520571614535</v>
      </c>
      <c r="CE139" s="59">
        <f t="shared" si="148"/>
        <v>119.00926870519527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0.10628690762565296</v>
      </c>
      <c r="CL139" s="21">
        <f>EXP(-LN(2)/25)*CL138+(1-EXP(-LN(2)/25))/(LN(2)/25)*Calculateur!CG139*Calculateur!CI139*VLOOKUP('Données projet'!$B$12,Paramètres!$A$1:$I$89,3,0)*0.475*44/12</f>
        <v>0.25279360105503623</v>
      </c>
      <c r="CM139" s="21">
        <f>EXP(-LN(2)/2)*CM138+(1-EXP(-LN(2)/2))/(LN(2)/2)*CG139*CJ139*VLOOKUP('Données projet'!$B$12,Paramètres!$A$1:$I$89,3,0)*0.475*44/12</f>
        <v>6.7875821530922148E-16</v>
      </c>
      <c r="CN139" s="22">
        <f t="shared" si="120"/>
        <v>0.35908050868068986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2.9706370696658272E-14</v>
      </c>
      <c r="CV139" s="13">
        <f t="shared" si="149"/>
        <v>5.1399863782592153E-13</v>
      </c>
      <c r="CW139" s="20">
        <f t="shared" si="121"/>
        <v>9.4695288984349312E-13</v>
      </c>
      <c r="CX139" s="59">
        <f t="shared" si="122"/>
        <v>293.33333333333428</v>
      </c>
      <c r="CY139" s="59">
        <f ca="1">AVERAGE(OFFSET($CX$3,0,0,'Données projet'!$E$13+1,1))-AVERAGE(OFFSET($H$3,0,0,'Données projet'!$E$13+1,1))</f>
        <v>177.94336949486529</v>
      </c>
      <c r="CZ139" s="59">
        <f t="shared" si="150"/>
        <v>65.559373432574603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3.3992364478763198E-14</v>
      </c>
      <c r="DQ139" s="13">
        <f t="shared" si="151"/>
        <v>5.790027782444094E-13</v>
      </c>
      <c r="DR139" s="20">
        <f t="shared" si="124"/>
        <v>1.0676332069095257E-12</v>
      </c>
      <c r="DS139" s="59">
        <f t="shared" si="125"/>
        <v>293.33333333333439</v>
      </c>
      <c r="DT139" s="59">
        <f ca="1">AVERAGE(OFFSET($DS$3,0,0,'Données projet'!$E$14+1,1))-AVERAGE(OFFSET($H$3,0,0,'Données projet'!$E$14+1,1))</f>
        <v>165.39579887388538</v>
      </c>
      <c r="DU139" s="59">
        <f t="shared" si="152"/>
        <v>155.89639262545802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0.3857583855862099</v>
      </c>
      <c r="EC139" s="21">
        <f>EXP(-LN(2)/2)*EC138+(1-EXP(-LN(2)/2))/(LN(2)/2)*DW139*DZ139*VLOOKUP('Données projet'!$B$14,Paramètres!$A$1:$I$89,3,0)*0.475*44/12</f>
        <v>1.5409935256035458E-15</v>
      </c>
      <c r="ED139" s="22">
        <f t="shared" si="126"/>
        <v>0.38575838558621145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-1.1368683772161603E-12</v>
      </c>
      <c r="EK139" s="17">
        <f>EJ139*VLOOKUP('Données projet'!$B$15,Paramètres!$A$1:$I$89,3,0)*VLOOKUP('Données projet'!$B$15,Paramètres!$A$1:$I$89,5,0)</f>
        <v>-5.4683368944097316E-13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252.30925789500111</v>
      </c>
      <c r="EP139" s="59">
        <f t="shared" si="154"/>
        <v>213.96033794804805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0.56770041212126998</v>
      </c>
      <c r="EW139" s="21">
        <f>EXP(-LN(2)/25)*EW138+(1-EXP(-LN(2)/25))/(LN(2)/25)*Calculateur!ER139*Calculateur!ET139*VLOOKUP('Données projet'!$B$15,Paramètres!$A$1:$I$89,3,0)*0.475*44/12</f>
        <v>0.48838184298889026</v>
      </c>
      <c r="EX139" s="21">
        <f>EXP(-LN(2)/2)*EX138+(1-EXP(-LN(2)/2))/(LN(2)/2)*ER139*EU139*VLOOKUP('Données projet'!$B$15,Paramètres!$A$1:$I$89,3,0)*0.475*44/12</f>
        <v>1.5962274398828677E-15</v>
      </c>
      <c r="EY139" s="22">
        <f t="shared" si="129"/>
        <v>1.0560822551101618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-1.1368683772161603E-12</v>
      </c>
      <c r="FF139" s="17">
        <f>FE139*VLOOKUP('Données projet'!$B$16,Paramètres!$A$1:$I$89,3,0)*VLOOKUP('Données projet'!$B$16,Paramètres!$A$1:$I$89,5,0)</f>
        <v>-5.4683368944097316E-13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252.30925789500111</v>
      </c>
      <c r="FK139" s="59">
        <f t="shared" si="156"/>
        <v>213.96033794804805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0.56770041212126998</v>
      </c>
      <c r="FR139" s="21">
        <f>EXP(-LN(2)/25)*FR138+(1-EXP(-LN(2)/25))/(LN(2)/25)*Calculateur!FM139*Calculateur!FO139*VLOOKUP('Données projet'!$B$16,Paramètres!$A$1:$I$89,3,0)*0.475*44/12</f>
        <v>0.48838184298889026</v>
      </c>
      <c r="FS139" s="21">
        <f>EXP(-LN(2)/2)*FS138+(1-EXP(-LN(2)/2))/(LN(2)/2)*FM139*FP139*VLOOKUP('Données projet'!$B$16,Paramètres!$A$1:$I$89,3,0)*0.475*44/12</f>
        <v>1.5962274398828677E-15</v>
      </c>
      <c r="FT139" s="22">
        <f t="shared" si="132"/>
        <v>1.0560822551101618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117.54638373164624</v>
      </c>
      <c r="GF139" s="59">
        <f t="shared" si="158"/>
        <v>133.0740262536583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0.27111460691520894</v>
      </c>
      <c r="GM139" s="21">
        <f>EXP(-LN(2)/25)*GM138+(1-EXP(-LN(2)/25))/(LN(2)/25)*Calculateur!GH139*Calculateur!GJ139*VLOOKUP('Données projet'!$B$17,Paramètres!$A$1:$I$89,3,0)*0.475*44/12</f>
        <v>0.45806747395488817</v>
      </c>
      <c r="GN139" s="21">
        <f>EXP(-LN(2)/2)*GN138+(1-EXP(-LN(2)/2))/(LN(2)/2)*GH139*GK139*VLOOKUP('Données projet'!$B$17,Paramètres!$A$1:$I$89,3,0)*0.475*44/12</f>
        <v>4.4914323490152121E-16</v>
      </c>
      <c r="GO139" s="21">
        <f t="shared" si="135"/>
        <v>0.7291820808700975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2.8421709430404007E-14</v>
      </c>
      <c r="GV139" s="17">
        <f>GU139*VLOOKUP('Données projet'!$B$18,Paramètres!$A$1:$I$89,3,0)*VLOOKUP('Données projet'!$B$18,Paramètres!$A$1:$I$89,5,0)</f>
        <v>1.3567387213697657E-14</v>
      </c>
      <c r="GW139" s="13">
        <f t="shared" si="159"/>
        <v>2.5717320947985821E-13</v>
      </c>
      <c r="GX139" s="20">
        <f t="shared" si="136"/>
        <v>4.7153987257460977E-13</v>
      </c>
      <c r="GY139" s="59">
        <f t="shared" si="137"/>
        <v>293.33333333333377</v>
      </c>
      <c r="GZ139" s="59">
        <f ca="1">AVERAGE(OFFSET($GY$3,0,0,'Données projet'!$E$18+1,1))-AVERAGE(OFFSET($H$3,0,0,'Données projet'!$E$18+1,1))</f>
        <v>43.147469606759159</v>
      </c>
      <c r="HA139" s="59">
        <f t="shared" si="160"/>
        <v>147.46995307968473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4.4193619932831991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6.1193212412401437E-17</v>
      </c>
      <c r="HJ139" s="22">
        <f t="shared" si="138"/>
        <v>4.4193619932831991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2.8421709430404007E-14</v>
      </c>
      <c r="O140" s="13">
        <f>N140*VLOOKUP('Données projet'!$B$9,Paramètres!$A$1:$I$89,3,0)*VLOOKUP('Données projet'!$B$9,Paramètres!$A$1:$I$89,5,0)</f>
        <v>2.5715962692629544E-14</v>
      </c>
      <c r="P140" s="13">
        <f t="shared" si="141"/>
        <v>4.5248818890525812E-13</v>
      </c>
      <c r="Q140" s="20">
        <f t="shared" si="108"/>
        <v>8.3287223069965432E-13</v>
      </c>
      <c r="R140" s="59">
        <f t="shared" si="109"/>
        <v>293.33333333333417</v>
      </c>
      <c r="S140" s="59">
        <f ca="1">AVERAGE(OFFSET($R$3,0,0,'Données projet'!$E$9+1,1))-AVERAGE(OFFSET($H$3,0,0,'Données projet'!$E$9+1,1))</f>
        <v>138.8931001150624</v>
      </c>
      <c r="T140" s="59">
        <f t="shared" si="142"/>
        <v>48.964659354096625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-7.4487616075202836E-14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191.94797389630673</v>
      </c>
      <c r="AO140" s="59">
        <f t="shared" si="144"/>
        <v>273.52540822767878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0.72312068829110221</v>
      </c>
      <c r="AW140" s="21">
        <f>EXP(-LN(2)/2)*AW139+(1-EXP(-LN(2)/2))/(LN(2)/2)*AQ140*AT140*VLOOKUP('Données projet'!$B$10,Paramètres!$A$1:$I$89,3,0)*0.475*44/12</f>
        <v>1.821547705426901E-15</v>
      </c>
      <c r="AX140" s="21">
        <f t="shared" si="114"/>
        <v>1.0324550603239748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3.5470293369144201E-14</v>
      </c>
      <c r="BF140" s="13">
        <f t="shared" si="145"/>
        <v>6.0119115841663204E-13</v>
      </c>
      <c r="BG140" s="20">
        <f t="shared" si="115"/>
        <v>1.1088520285268936E-12</v>
      </c>
      <c r="BH140" s="59">
        <f t="shared" si="116"/>
        <v>293.33333333333445</v>
      </c>
      <c r="BI140" s="59">
        <f ca="1">AVERAGE(OFFSET($BH$3,0,0,'Données projet'!$E$11+1,1))-AVERAGE(OFFSET($H$3,0,0,'Données projet'!$E$11+1,1))</f>
        <v>162.91481796710048</v>
      </c>
      <c r="BJ140" s="59">
        <f t="shared" si="146"/>
        <v>182.56192390367823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0.33416466296124064</v>
      </c>
      <c r="BQ140" s="21">
        <f>EXP(-LN(2)/25)*BQ139+(1-EXP(-LN(2)/25))/(LN(2)/25)*Calculateur!BL140*Calculateur!BN140*VLOOKUP('Données projet'!$B$11,Paramètres!$A$1:$I$89,3,0)*0.475*44/12</f>
        <v>0.78645724308194631</v>
      </c>
      <c r="BR140" s="21">
        <f>EXP(-LN(2)/2)*BR139+(1-EXP(-LN(2)/2))/(LN(2)/2)*BL140*BO140*VLOOKUP('Données projet'!$B$11,Paramètres!$A$1:$I$89,3,0)*0.475*44/12</f>
        <v>1.4107057321558186E-15</v>
      </c>
      <c r="BS140" s="22">
        <f t="shared" si="117"/>
        <v>1.1206219060431883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-5.3205440053716299E-14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123.60520571614535</v>
      </c>
      <c r="CE140" s="59">
        <f t="shared" si="148"/>
        <v>119.00926870519527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0.10420268619572626</v>
      </c>
      <c r="CL140" s="21">
        <f>EXP(-LN(2)/25)*CL139+(1-EXP(-LN(2)/25))/(LN(2)/25)*Calculateur!CG140*Calculateur!CI140*VLOOKUP('Données projet'!$B$12,Paramètres!$A$1:$I$89,3,0)*0.475*44/12</f>
        <v>0.24588094674034855</v>
      </c>
      <c r="CM140" s="21">
        <f>EXP(-LN(2)/2)*CM139+(1-EXP(-LN(2)/2))/(LN(2)/2)*CG140*CJ140*VLOOKUP('Données projet'!$B$12,Paramètres!$A$1:$I$89,3,0)*0.475*44/12</f>
        <v>4.7995453683122918E-16</v>
      </c>
      <c r="CN140" s="22">
        <f t="shared" si="120"/>
        <v>0.35008363293607531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2.9706370696658272E-14</v>
      </c>
      <c r="CV140" s="13">
        <f t="shared" si="149"/>
        <v>5.1399863782592153E-13</v>
      </c>
      <c r="CW140" s="20">
        <f t="shared" si="121"/>
        <v>9.4695288984349312E-13</v>
      </c>
      <c r="CX140" s="59">
        <f t="shared" si="122"/>
        <v>293.33333333333428</v>
      </c>
      <c r="CY140" s="59">
        <f ca="1">AVERAGE(OFFSET($CX$3,0,0,'Données projet'!$E$13+1,1))-AVERAGE(OFFSET($H$3,0,0,'Données projet'!$E$13+1,1))</f>
        <v>177.94336949486529</v>
      </c>
      <c r="CZ140" s="59">
        <f t="shared" si="150"/>
        <v>65.559373432574603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3.3992364478763198E-14</v>
      </c>
      <c r="DQ140" s="13">
        <f t="shared" si="151"/>
        <v>5.790027782444094E-13</v>
      </c>
      <c r="DR140" s="20">
        <f t="shared" si="124"/>
        <v>1.0676332069095257E-12</v>
      </c>
      <c r="DS140" s="59">
        <f t="shared" si="125"/>
        <v>293.33333333333439</v>
      </c>
      <c r="DT140" s="59">
        <f ca="1">AVERAGE(OFFSET($DS$3,0,0,'Données projet'!$E$14+1,1))-AVERAGE(OFFSET($H$3,0,0,'Données projet'!$E$14+1,1))</f>
        <v>165.39579887388538</v>
      </c>
      <c r="DU140" s="59">
        <f t="shared" si="152"/>
        <v>155.89639262545802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0.37520980224620315</v>
      </c>
      <c r="EC140" s="21">
        <f>EXP(-LN(2)/2)*EC139+(1-EXP(-LN(2)/2))/(LN(2)/2)*DW140*DZ140*VLOOKUP('Données projet'!$B$14,Paramètres!$A$1:$I$89,3,0)*0.475*44/12</f>
        <v>1.0896469717188329E-15</v>
      </c>
      <c r="ED140" s="22">
        <f t="shared" si="126"/>
        <v>0.37520980224620426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-1.1368683772161603E-12</v>
      </c>
      <c r="EK140" s="17">
        <f>EJ140*VLOOKUP('Données projet'!$B$15,Paramètres!$A$1:$I$89,3,0)*VLOOKUP('Données projet'!$B$15,Paramètres!$A$1:$I$89,5,0)</f>
        <v>-5.4683368944097316E-13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252.30925789500111</v>
      </c>
      <c r="EP140" s="59">
        <f t="shared" si="154"/>
        <v>213.96033794804805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0.55656815330263265</v>
      </c>
      <c r="EW140" s="21">
        <f>EXP(-LN(2)/25)*EW139+(1-EXP(-LN(2)/25))/(LN(2)/25)*Calculateur!ER140*Calculateur!ET140*VLOOKUP('Données projet'!$B$15,Paramètres!$A$1:$I$89,3,0)*0.475*44/12</f>
        <v>0.47502701580947415</v>
      </c>
      <c r="EX140" s="21">
        <f>EXP(-LN(2)/2)*EX139+(1-EXP(-LN(2)/2))/(LN(2)/2)*ER140*EU140*VLOOKUP('Données projet'!$B$15,Paramètres!$A$1:$I$89,3,0)*0.475*44/12</f>
        <v>1.1287032470572179E-15</v>
      </c>
      <c r="EY140" s="22">
        <f t="shared" si="129"/>
        <v>1.0315951691121079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-1.1368683772161603E-12</v>
      </c>
      <c r="FF140" s="17">
        <f>FE140*VLOOKUP('Données projet'!$B$16,Paramètres!$A$1:$I$89,3,0)*VLOOKUP('Données projet'!$B$16,Paramètres!$A$1:$I$89,5,0)</f>
        <v>-5.4683368944097316E-13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252.30925789500111</v>
      </c>
      <c r="FK140" s="59">
        <f t="shared" si="156"/>
        <v>213.96033794804805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0.55656815330263265</v>
      </c>
      <c r="FR140" s="21">
        <f>EXP(-LN(2)/25)*FR139+(1-EXP(-LN(2)/25))/(LN(2)/25)*Calculateur!FM140*Calculateur!FO140*VLOOKUP('Données projet'!$B$16,Paramètres!$A$1:$I$89,3,0)*0.475*44/12</f>
        <v>0.47502701580947415</v>
      </c>
      <c r="FS140" s="21">
        <f>EXP(-LN(2)/2)*FS139+(1-EXP(-LN(2)/2))/(LN(2)/2)*FM140*FP140*VLOOKUP('Données projet'!$B$16,Paramètres!$A$1:$I$89,3,0)*0.475*44/12</f>
        <v>1.1287032470572179E-15</v>
      </c>
      <c r="FT140" s="22">
        <f t="shared" si="132"/>
        <v>1.0315951691121079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117.54638373164624</v>
      </c>
      <c r="GF140" s="59">
        <f t="shared" si="158"/>
        <v>133.0740262536583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0.26579821483718363</v>
      </c>
      <c r="GM140" s="21">
        <f>EXP(-LN(2)/25)*GM139+(1-EXP(-LN(2)/25))/(LN(2)/25)*Calculateur!GH140*Calculateur!GJ140*VLOOKUP('Données projet'!$B$17,Paramètres!$A$1:$I$89,3,0)*0.475*44/12</f>
        <v>0.44554159479087024</v>
      </c>
      <c r="GN140" s="21">
        <f>EXP(-LN(2)/2)*GN139+(1-EXP(-LN(2)/2))/(LN(2)/2)*GH140*GK140*VLOOKUP('Données projet'!$B$17,Paramètres!$A$1:$I$89,3,0)*0.475*44/12</f>
        <v>3.1759222712292808E-16</v>
      </c>
      <c r="GO140" s="21">
        <f t="shared" si="135"/>
        <v>0.71133980962805421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2.8421709430404007E-14</v>
      </c>
      <c r="GV140" s="17">
        <f>GU140*VLOOKUP('Données projet'!$B$18,Paramètres!$A$1:$I$89,3,0)*VLOOKUP('Données projet'!$B$18,Paramètres!$A$1:$I$89,5,0)</f>
        <v>1.3567387213697657E-14</v>
      </c>
      <c r="GW140" s="13">
        <f t="shared" si="159"/>
        <v>2.5717320947985821E-13</v>
      </c>
      <c r="GX140" s="20">
        <f t="shared" si="136"/>
        <v>4.7153987257460977E-13</v>
      </c>
      <c r="GY140" s="59">
        <f t="shared" si="137"/>
        <v>293.33333333333377</v>
      </c>
      <c r="GZ140" s="59">
        <f ca="1">AVERAGE(OFFSET($GY$3,0,0,'Données projet'!$E$18+1,1))-AVERAGE(OFFSET($H$3,0,0,'Données projet'!$E$18+1,1))</f>
        <v>43.147469606759159</v>
      </c>
      <c r="HA140" s="59">
        <f t="shared" si="160"/>
        <v>147.46995307968473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4.3327010001395685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4.3270135459397868E-17</v>
      </c>
      <c r="HJ140" s="22">
        <f t="shared" si="138"/>
        <v>4.3327010001395685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2.8421709430404007E-14</v>
      </c>
      <c r="O141" s="13">
        <f>N141*VLOOKUP('Données projet'!$B$9,Paramètres!$A$1:$I$89,3,0)*VLOOKUP('Données projet'!$B$9,Paramètres!$A$1:$I$89,5,0)</f>
        <v>2.5715962692629544E-14</v>
      </c>
      <c r="P141" s="13">
        <f t="shared" si="141"/>
        <v>4.5248818890525812E-13</v>
      </c>
      <c r="Q141" s="20">
        <f t="shared" si="108"/>
        <v>8.3287223069965432E-13</v>
      </c>
      <c r="R141" s="59">
        <f t="shared" si="109"/>
        <v>293.33333333333417</v>
      </c>
      <c r="S141" s="59">
        <f ca="1">AVERAGE(OFFSET($R$3,0,0,'Données projet'!$E$9+1,1))-AVERAGE(OFFSET($H$3,0,0,'Données projet'!$E$9+1,1))</f>
        <v>138.8931001150624</v>
      </c>
      <c r="T141" s="59">
        <f t="shared" si="142"/>
        <v>48.964659354096625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-7.4487616075202836E-14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191.94797389630673</v>
      </c>
      <c r="AO141" s="59">
        <f t="shared" si="144"/>
        <v>273.52540822767878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0.70334691504251778</v>
      </c>
      <c r="AW141" s="21">
        <f>EXP(-LN(2)/2)*AW140+(1-EXP(-LN(2)/2))/(LN(2)/2)*AQ141*AT141*VLOOKUP('Données projet'!$B$10,Paramètres!$A$1:$I$89,3,0)*0.475*44/12</f>
        <v>1.2880287347621574E-15</v>
      </c>
      <c r="AX141" s="21">
        <f t="shared" si="114"/>
        <v>1.0066154287151621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3.5470293369144201E-14</v>
      </c>
      <c r="BF141" s="13">
        <f t="shared" si="145"/>
        <v>6.0119115841663204E-13</v>
      </c>
      <c r="BG141" s="20">
        <f t="shared" si="115"/>
        <v>1.1088520285268936E-12</v>
      </c>
      <c r="BH141" s="59">
        <f t="shared" si="116"/>
        <v>293.33333333333445</v>
      </c>
      <c r="BI141" s="59">
        <f ca="1">AVERAGE(OFFSET($BH$3,0,0,'Données projet'!$E$11+1,1))-AVERAGE(OFFSET($H$3,0,0,'Données projet'!$E$11+1,1))</f>
        <v>162.91481796710048</v>
      </c>
      <c r="BJ141" s="59">
        <f t="shared" si="146"/>
        <v>182.56192390367823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0.32761189774088956</v>
      </c>
      <c r="BQ141" s="21">
        <f>EXP(-LN(2)/25)*BQ140+(1-EXP(-LN(2)/25))/(LN(2)/25)*Calculateur!BL141*Calculateur!BN141*VLOOKUP('Données projet'!$B$11,Paramètres!$A$1:$I$89,3,0)*0.475*44/12</f>
        <v>0.76495152841188152</v>
      </c>
      <c r="BR141" s="21">
        <f>EXP(-LN(2)/2)*BR140+(1-EXP(-LN(2)/2))/(LN(2)/2)*BL141*BO141*VLOOKUP('Données projet'!$B$11,Paramètres!$A$1:$I$89,3,0)*0.475*44/12</f>
        <v>9.9751958946611271E-16</v>
      </c>
      <c r="BS141" s="22">
        <f t="shared" si="117"/>
        <v>1.0925634261527719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-5.3205440053716299E-14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123.60520571614535</v>
      </c>
      <c r="CE141" s="59">
        <f t="shared" si="148"/>
        <v>119.00926870519527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0.10215933507679088</v>
      </c>
      <c r="CL141" s="21">
        <f>EXP(-LN(2)/25)*CL140+(1-EXP(-LN(2)/25))/(LN(2)/25)*Calculateur!CG141*Calculateur!CI141*VLOOKUP('Données projet'!$B$12,Paramètres!$A$1:$I$89,3,0)*0.475*44/12</f>
        <v>0.23915731932141671</v>
      </c>
      <c r="CM141" s="21">
        <f>EXP(-LN(2)/2)*CM140+(1-EXP(-LN(2)/2))/(LN(2)/2)*CG141*CJ141*VLOOKUP('Données projet'!$B$12,Paramètres!$A$1:$I$89,3,0)*0.475*44/12</f>
        <v>3.3937910765461074E-16</v>
      </c>
      <c r="CN141" s="22">
        <f t="shared" si="120"/>
        <v>0.34131665439820791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2.9706370696658272E-14</v>
      </c>
      <c r="CV141" s="13">
        <f t="shared" si="149"/>
        <v>5.1399863782592153E-13</v>
      </c>
      <c r="CW141" s="20">
        <f t="shared" si="121"/>
        <v>9.4695288984349312E-13</v>
      </c>
      <c r="CX141" s="59">
        <f t="shared" si="122"/>
        <v>293.33333333333428</v>
      </c>
      <c r="CY141" s="59">
        <f ca="1">AVERAGE(OFFSET($CX$3,0,0,'Données projet'!$E$13+1,1))-AVERAGE(OFFSET($H$3,0,0,'Données projet'!$E$13+1,1))</f>
        <v>177.94336949486529</v>
      </c>
      <c r="CZ141" s="59">
        <f t="shared" si="150"/>
        <v>65.559373432574603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3.3992364478763198E-14</v>
      </c>
      <c r="DQ141" s="13">
        <f t="shared" si="151"/>
        <v>5.790027782444094E-13</v>
      </c>
      <c r="DR141" s="20">
        <f t="shared" si="124"/>
        <v>1.0676332069095257E-12</v>
      </c>
      <c r="DS141" s="59">
        <f t="shared" si="125"/>
        <v>293.33333333333439</v>
      </c>
      <c r="DT141" s="59">
        <f ca="1">AVERAGE(OFFSET($DS$3,0,0,'Données projet'!$E$14+1,1))-AVERAGE(OFFSET($H$3,0,0,'Données projet'!$E$14+1,1))</f>
        <v>165.39579887388538</v>
      </c>
      <c r="DU141" s="59">
        <f t="shared" si="152"/>
        <v>155.89639262545802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0.36494967047235477</v>
      </c>
      <c r="EC141" s="21">
        <f>EXP(-LN(2)/2)*EC140+(1-EXP(-LN(2)/2))/(LN(2)/2)*DW141*DZ141*VLOOKUP('Données projet'!$B$14,Paramètres!$A$1:$I$89,3,0)*0.475*44/12</f>
        <v>7.7049676280177291E-16</v>
      </c>
      <c r="ED141" s="22">
        <f t="shared" si="126"/>
        <v>0.36494967047235555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-1.1368683772161603E-12</v>
      </c>
      <c r="EK141" s="17">
        <f>EJ141*VLOOKUP('Données projet'!$B$15,Paramètres!$A$1:$I$89,3,0)*VLOOKUP('Données projet'!$B$15,Paramètres!$A$1:$I$89,5,0)</f>
        <v>-5.4683368944097316E-13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252.30925789500111</v>
      </c>
      <c r="EP141" s="59">
        <f t="shared" si="154"/>
        <v>213.96033794804805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0.54565419128942139</v>
      </c>
      <c r="EW141" s="21">
        <f>EXP(-LN(2)/25)*EW140+(1-EXP(-LN(2)/25))/(LN(2)/25)*Calculateur!ER141*Calculateur!ET141*VLOOKUP('Données projet'!$B$15,Paramètres!$A$1:$I$89,3,0)*0.475*44/12</f>
        <v>0.46203737708157899</v>
      </c>
      <c r="EX141" s="21">
        <f>EXP(-LN(2)/2)*EX140+(1-EXP(-LN(2)/2))/(LN(2)/2)*ER141*EU141*VLOOKUP('Données projet'!$B$15,Paramètres!$A$1:$I$89,3,0)*0.475*44/12</f>
        <v>7.9811371994143387E-16</v>
      </c>
      <c r="EY141" s="22">
        <f t="shared" si="129"/>
        <v>1.0076915683710013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-1.1368683772161603E-12</v>
      </c>
      <c r="FF141" s="17">
        <f>FE141*VLOOKUP('Données projet'!$B$16,Paramètres!$A$1:$I$89,3,0)*VLOOKUP('Données projet'!$B$16,Paramètres!$A$1:$I$89,5,0)</f>
        <v>-5.4683368944097316E-13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252.30925789500111</v>
      </c>
      <c r="FK141" s="59">
        <f t="shared" si="156"/>
        <v>213.96033794804805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0.54565419128942139</v>
      </c>
      <c r="FR141" s="21">
        <f>EXP(-LN(2)/25)*FR140+(1-EXP(-LN(2)/25))/(LN(2)/25)*Calculateur!FM141*Calculateur!FO141*VLOOKUP('Données projet'!$B$16,Paramètres!$A$1:$I$89,3,0)*0.475*44/12</f>
        <v>0.46203737708157899</v>
      </c>
      <c r="FS141" s="21">
        <f>EXP(-LN(2)/2)*FS140+(1-EXP(-LN(2)/2))/(LN(2)/2)*FM141*FP141*VLOOKUP('Données projet'!$B$16,Paramètres!$A$1:$I$89,3,0)*0.475*44/12</f>
        <v>7.9811371994143387E-16</v>
      </c>
      <c r="FT141" s="22">
        <f t="shared" si="132"/>
        <v>1.0076915683710013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117.54638373164624</v>
      </c>
      <c r="GF141" s="59">
        <f t="shared" si="158"/>
        <v>133.0740262536583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0.26058607396512939</v>
      </c>
      <c r="GM141" s="21">
        <f>EXP(-LN(2)/25)*GM140+(1-EXP(-LN(2)/25))/(LN(2)/25)*Calculateur!GH141*Calculateur!GJ141*VLOOKUP('Données projet'!$B$17,Paramètres!$A$1:$I$89,3,0)*0.475*44/12</f>
        <v>0.43335823645129973</v>
      </c>
      <c r="GN141" s="21">
        <f>EXP(-LN(2)/2)*GN140+(1-EXP(-LN(2)/2))/(LN(2)/2)*GH141*GK141*VLOOKUP('Données projet'!$B$17,Paramètres!$A$1:$I$89,3,0)*0.475*44/12</f>
        <v>2.2457161745076061E-16</v>
      </c>
      <c r="GO141" s="21">
        <f t="shared" si="135"/>
        <v>0.69394431041642934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2.8421709430404007E-14</v>
      </c>
      <c r="GV141" s="17">
        <f>GU141*VLOOKUP('Données projet'!$B$18,Paramètres!$A$1:$I$89,3,0)*VLOOKUP('Données projet'!$B$18,Paramètres!$A$1:$I$89,5,0)</f>
        <v>1.3567387213697657E-14</v>
      </c>
      <c r="GW141" s="13">
        <f t="shared" si="159"/>
        <v>2.5717320947985821E-13</v>
      </c>
      <c r="GX141" s="20">
        <f t="shared" si="136"/>
        <v>4.7153987257460977E-13</v>
      </c>
      <c r="GY141" s="59">
        <f t="shared" si="137"/>
        <v>293.33333333333377</v>
      </c>
      <c r="GZ141" s="59">
        <f ca="1">AVERAGE(OFFSET($GY$3,0,0,'Données projet'!$E$18+1,1))-AVERAGE(OFFSET($H$3,0,0,'Données projet'!$E$18+1,1))</f>
        <v>43.147469606759159</v>
      </c>
      <c r="HA141" s="59">
        <f t="shared" si="160"/>
        <v>147.46995307968473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4.2477393762134978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3.0596606206200718E-17</v>
      </c>
      <c r="HJ141" s="22">
        <f t="shared" si="138"/>
        <v>4.2477393762134978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2.8421709430404007E-14</v>
      </c>
      <c r="O142" s="13">
        <f>N142*VLOOKUP('Données projet'!$B$9,Paramètres!$A$1:$I$89,3,0)*VLOOKUP('Données projet'!$B$9,Paramètres!$A$1:$I$89,5,0)</f>
        <v>2.5715962692629544E-14</v>
      </c>
      <c r="P142" s="13">
        <f t="shared" si="141"/>
        <v>4.5248818890525812E-13</v>
      </c>
      <c r="Q142" s="20">
        <f t="shared" si="108"/>
        <v>8.3287223069965432E-13</v>
      </c>
      <c r="R142" s="59">
        <f t="shared" si="109"/>
        <v>293.33333333333417</v>
      </c>
      <c r="S142" s="59">
        <f ca="1">AVERAGE(OFFSET($R$3,0,0,'Données projet'!$E$9+1,1))-AVERAGE(OFFSET($H$3,0,0,'Données projet'!$E$9+1,1))</f>
        <v>138.8931001150624</v>
      </c>
      <c r="T142" s="59">
        <f t="shared" si="142"/>
        <v>48.964659354096625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-7.4487616075202836E-14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191.94797389630673</v>
      </c>
      <c r="AO142" s="59">
        <f t="shared" si="144"/>
        <v>273.52540822767878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0.6841138566632734</v>
      </c>
      <c r="AW142" s="21">
        <f>EXP(-LN(2)/2)*AW141+(1-EXP(-LN(2)/2))/(LN(2)/2)*AQ142*AT142*VLOOKUP('Données projet'!$B$10,Paramètres!$A$1:$I$89,3,0)*0.475*44/12</f>
        <v>9.1077385271345048E-16</v>
      </c>
      <c r="AX142" s="21">
        <f t="shared" si="114"/>
        <v>0.98143545975832536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3.5470293369144201E-14</v>
      </c>
      <c r="BF142" s="13">
        <f t="shared" si="145"/>
        <v>6.0119115841663204E-13</v>
      </c>
      <c r="BG142" s="20">
        <f t="shared" si="115"/>
        <v>1.1088520285268936E-12</v>
      </c>
      <c r="BH142" s="59">
        <f t="shared" si="116"/>
        <v>293.33333333333445</v>
      </c>
      <c r="BI142" s="59">
        <f ca="1">AVERAGE(OFFSET($BH$3,0,0,'Données projet'!$E$11+1,1))-AVERAGE(OFFSET($H$3,0,0,'Données projet'!$E$11+1,1))</f>
        <v>162.91481796710048</v>
      </c>
      <c r="BJ142" s="59">
        <f t="shared" si="146"/>
        <v>182.56192390367823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0.32118762824971742</v>
      </c>
      <c r="BQ142" s="21">
        <f>EXP(-LN(2)/25)*BQ141+(1-EXP(-LN(2)/25))/(LN(2)/25)*Calculateur!BL142*Calculateur!BN142*VLOOKUP('Données projet'!$B$11,Paramètres!$A$1:$I$89,3,0)*0.475*44/12</f>
        <v>0.74403388864040609</v>
      </c>
      <c r="BR142" s="21">
        <f>EXP(-LN(2)/2)*BR141+(1-EXP(-LN(2)/2))/(LN(2)/2)*BL142*BO142*VLOOKUP('Données projet'!$B$11,Paramètres!$A$1:$I$89,3,0)*0.475*44/12</f>
        <v>7.0535286607790929E-16</v>
      </c>
      <c r="BS142" s="22">
        <f t="shared" si="117"/>
        <v>1.0652215168901242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-5.3205440053716299E-14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123.60520571614535</v>
      </c>
      <c r="CE142" s="59">
        <f t="shared" si="148"/>
        <v>119.00926870519527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0.1001560528269767</v>
      </c>
      <c r="CL142" s="21">
        <f>EXP(-LN(2)/25)*CL141+(1-EXP(-LN(2)/25))/(LN(2)/25)*Calculateur!CG142*Calculateur!CI142*VLOOKUP('Données projet'!$B$12,Paramètres!$A$1:$I$89,3,0)*0.475*44/12</f>
        <v>0.23261754984783575</v>
      </c>
      <c r="CM142" s="21">
        <f>EXP(-LN(2)/2)*CM141+(1-EXP(-LN(2)/2))/(LN(2)/2)*CG142*CJ142*VLOOKUP('Données projet'!$B$12,Paramètres!$A$1:$I$89,3,0)*0.475*44/12</f>
        <v>2.3997726841561459E-16</v>
      </c>
      <c r="CN142" s="22">
        <f t="shared" si="120"/>
        <v>0.33277360267481271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2.9706370696658272E-14</v>
      </c>
      <c r="CV142" s="13">
        <f t="shared" si="149"/>
        <v>5.1399863782592153E-13</v>
      </c>
      <c r="CW142" s="20">
        <f t="shared" si="121"/>
        <v>9.4695288984349312E-13</v>
      </c>
      <c r="CX142" s="59">
        <f t="shared" si="122"/>
        <v>293.33333333333428</v>
      </c>
      <c r="CY142" s="59">
        <f ca="1">AVERAGE(OFFSET($CX$3,0,0,'Données projet'!$E$13+1,1))-AVERAGE(OFFSET($H$3,0,0,'Données projet'!$E$13+1,1))</f>
        <v>177.94336949486529</v>
      </c>
      <c r="CZ142" s="59">
        <f t="shared" si="150"/>
        <v>65.559373432574603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3.3992364478763198E-14</v>
      </c>
      <c r="DQ142" s="13">
        <f t="shared" si="151"/>
        <v>5.790027782444094E-13</v>
      </c>
      <c r="DR142" s="20">
        <f t="shared" si="124"/>
        <v>1.0676332069095257E-12</v>
      </c>
      <c r="DS142" s="59">
        <f t="shared" si="125"/>
        <v>293.33333333333439</v>
      </c>
      <c r="DT142" s="59">
        <f ca="1">AVERAGE(OFFSET($DS$3,0,0,'Données projet'!$E$14+1,1))-AVERAGE(OFFSET($H$3,0,0,'Données projet'!$E$14+1,1))</f>
        <v>165.39579887388538</v>
      </c>
      <c r="DU142" s="59">
        <f t="shared" si="152"/>
        <v>155.89639262545802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0.35497010254141914</v>
      </c>
      <c r="EC142" s="21">
        <f>EXP(-LN(2)/2)*EC141+(1-EXP(-LN(2)/2))/(LN(2)/2)*DW142*DZ142*VLOOKUP('Données projet'!$B$14,Paramètres!$A$1:$I$89,3,0)*0.475*44/12</f>
        <v>5.4482348585941644E-16</v>
      </c>
      <c r="ED142" s="22">
        <f t="shared" si="126"/>
        <v>0.3549701025414197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-1.1368683772161603E-12</v>
      </c>
      <c r="EK142" s="17">
        <f>EJ142*VLOOKUP('Données projet'!$B$15,Paramètres!$A$1:$I$89,3,0)*VLOOKUP('Données projet'!$B$15,Paramètres!$A$1:$I$89,5,0)</f>
        <v>-5.4683368944097316E-13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252.30925789500111</v>
      </c>
      <c r="EP142" s="59">
        <f t="shared" si="154"/>
        <v>213.96033794804805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0.5349542454144296</v>
      </c>
      <c r="EW142" s="21">
        <f>EXP(-LN(2)/25)*EW141+(1-EXP(-LN(2)/25))/(LN(2)/25)*Calculateur!ER142*Calculateur!ET142*VLOOKUP('Données projet'!$B$15,Paramètres!$A$1:$I$89,3,0)*0.475*44/12</f>
        <v>0.44940294070779357</v>
      </c>
      <c r="EX142" s="21">
        <f>EXP(-LN(2)/2)*EX141+(1-EXP(-LN(2)/2))/(LN(2)/2)*ER142*EU142*VLOOKUP('Données projet'!$B$15,Paramètres!$A$1:$I$89,3,0)*0.475*44/12</f>
        <v>5.6435162352860894E-16</v>
      </c>
      <c r="EY142" s="22">
        <f t="shared" si="129"/>
        <v>0.98435718612222367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-1.1368683772161603E-12</v>
      </c>
      <c r="FF142" s="17">
        <f>FE142*VLOOKUP('Données projet'!$B$16,Paramètres!$A$1:$I$89,3,0)*VLOOKUP('Données projet'!$B$16,Paramètres!$A$1:$I$89,5,0)</f>
        <v>-5.4683368944097316E-13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252.30925789500111</v>
      </c>
      <c r="FK142" s="59">
        <f t="shared" si="156"/>
        <v>213.96033794804805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0.5349542454144296</v>
      </c>
      <c r="FR142" s="21">
        <f>EXP(-LN(2)/25)*FR141+(1-EXP(-LN(2)/25))/(LN(2)/25)*Calculateur!FM142*Calculateur!FO142*VLOOKUP('Données projet'!$B$16,Paramètres!$A$1:$I$89,3,0)*0.475*44/12</f>
        <v>0.44940294070779357</v>
      </c>
      <c r="FS142" s="21">
        <f>EXP(-LN(2)/2)*FS141+(1-EXP(-LN(2)/2))/(LN(2)/2)*FM142*FP142*VLOOKUP('Données projet'!$B$16,Paramètres!$A$1:$I$89,3,0)*0.475*44/12</f>
        <v>5.6435162352860894E-16</v>
      </c>
      <c r="FT142" s="22">
        <f t="shared" si="132"/>
        <v>0.98435718612222367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117.54638373164624</v>
      </c>
      <c r="GF142" s="59">
        <f t="shared" si="158"/>
        <v>133.0740262536583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0.25547613999648411</v>
      </c>
      <c r="GM142" s="21">
        <f>EXP(-LN(2)/25)*GM141+(1-EXP(-LN(2)/25))/(LN(2)/25)*Calculateur!GH142*Calculateur!GJ142*VLOOKUP('Données projet'!$B$17,Paramètres!$A$1:$I$89,3,0)*0.475*44/12</f>
        <v>0.42150803268621972</v>
      </c>
      <c r="GN142" s="21">
        <f>EXP(-LN(2)/2)*GN141+(1-EXP(-LN(2)/2))/(LN(2)/2)*GH142*GK142*VLOOKUP('Données projet'!$B$17,Paramètres!$A$1:$I$89,3,0)*0.475*44/12</f>
        <v>1.5879611356146404E-16</v>
      </c>
      <c r="GO142" s="21">
        <f t="shared" si="135"/>
        <v>0.67698417268270394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2.8421709430404007E-14</v>
      </c>
      <c r="GV142" s="17">
        <f>GU142*VLOOKUP('Données projet'!$B$18,Paramètres!$A$1:$I$89,3,0)*VLOOKUP('Données projet'!$B$18,Paramètres!$A$1:$I$89,5,0)</f>
        <v>1.3567387213697657E-14</v>
      </c>
      <c r="GW142" s="13">
        <f t="shared" si="159"/>
        <v>2.5717320947985821E-13</v>
      </c>
      <c r="GX142" s="20">
        <f t="shared" si="136"/>
        <v>4.7153987257460977E-13</v>
      </c>
      <c r="GY142" s="59">
        <f t="shared" si="137"/>
        <v>293.33333333333377</v>
      </c>
      <c r="GZ142" s="59">
        <f ca="1">AVERAGE(OFFSET($GY$3,0,0,'Données projet'!$E$18+1,1))-AVERAGE(OFFSET($H$3,0,0,'Données projet'!$E$18+1,1))</f>
        <v>43.147469606759159</v>
      </c>
      <c r="HA142" s="59">
        <f t="shared" si="160"/>
        <v>147.46995307968473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4.1644437979111437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2.1635067729698934E-17</v>
      </c>
      <c r="HJ142" s="22">
        <f t="shared" si="138"/>
        <v>4.1644437979111437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2.8421709430404007E-14</v>
      </c>
      <c r="O143" s="13">
        <f>N143*VLOOKUP('Données projet'!$B$9,Paramètres!$A$1:$I$89,3,0)*VLOOKUP('Données projet'!$B$9,Paramètres!$A$1:$I$89,5,0)</f>
        <v>2.5715962692629544E-14</v>
      </c>
      <c r="P143" s="13">
        <f t="shared" si="141"/>
        <v>4.5248818890525812E-13</v>
      </c>
      <c r="Q143" s="20">
        <f t="shared" si="108"/>
        <v>8.3287223069965432E-13</v>
      </c>
      <c r="R143" s="59">
        <f t="shared" si="109"/>
        <v>293.33333333333417</v>
      </c>
      <c r="S143" s="59">
        <f ca="1">AVERAGE(OFFSET($R$3,0,0,'Données projet'!$E$9+1,1))-AVERAGE(OFFSET($H$3,0,0,'Données projet'!$E$9+1,1))</f>
        <v>138.8931001150624</v>
      </c>
      <c r="T143" s="59">
        <f t="shared" si="142"/>
        <v>48.964659354096625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-7.4487616075202836E-14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191.94797389630673</v>
      </c>
      <c r="AO143" s="59">
        <f t="shared" si="144"/>
        <v>273.52540822767878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0.66540672727683203</v>
      </c>
      <c r="AW143" s="21">
        <f>EXP(-LN(2)/2)*AW142+(1-EXP(-LN(2)/2))/(LN(2)/2)*AQ143*AT143*VLOOKUP('Données projet'!$B$10,Paramètres!$A$1:$I$89,3,0)*0.475*44/12</f>
        <v>6.4401436738107871E-16</v>
      </c>
      <c r="AX143" s="21">
        <f t="shared" si="114"/>
        <v>0.95689803508346105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3.5470293369144201E-14</v>
      </c>
      <c r="BF143" s="13">
        <f t="shared" si="145"/>
        <v>6.0119115841663204E-13</v>
      </c>
      <c r="BG143" s="20">
        <f t="shared" si="115"/>
        <v>1.1088520285268936E-12</v>
      </c>
      <c r="BH143" s="59">
        <f t="shared" si="116"/>
        <v>293.33333333333445</v>
      </c>
      <c r="BI143" s="59">
        <f ca="1">AVERAGE(OFFSET($BH$3,0,0,'Données projet'!$E$11+1,1))-AVERAGE(OFFSET($H$3,0,0,'Données projet'!$E$11+1,1))</f>
        <v>162.91481796710048</v>
      </c>
      <c r="BJ143" s="59">
        <f t="shared" si="146"/>
        <v>182.56192390367823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0.31488933476484965</v>
      </c>
      <c r="BQ143" s="21">
        <f>EXP(-LN(2)/25)*BQ142+(1-EXP(-LN(2)/25))/(LN(2)/25)*Calculateur!BL143*Calculateur!BN143*VLOOKUP('Données projet'!$B$11,Paramètres!$A$1:$I$89,3,0)*0.475*44/12</f>
        <v>0.72368824282849253</v>
      </c>
      <c r="BR143" s="21">
        <f>EXP(-LN(2)/2)*BR142+(1-EXP(-LN(2)/2))/(LN(2)/2)*BL143*BO143*VLOOKUP('Données projet'!$B$11,Paramètres!$A$1:$I$89,3,0)*0.475*44/12</f>
        <v>4.9875979473305635E-16</v>
      </c>
      <c r="BS143" s="22">
        <f t="shared" si="117"/>
        <v>1.0385775775933426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-5.3205440053716299E-14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123.60520571614535</v>
      </c>
      <c r="CE143" s="59">
        <f t="shared" si="148"/>
        <v>119.00926870519527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9.8192053720199859E-2</v>
      </c>
      <c r="CL143" s="21">
        <f>EXP(-LN(2)/25)*CL142+(1-EXP(-LN(2)/25))/(LN(2)/25)*Calculateur!CG143*Calculateur!CI143*VLOOKUP('Données projet'!$B$12,Paramètres!$A$1:$I$89,3,0)*0.475*44/12</f>
        <v>0.22625661071442138</v>
      </c>
      <c r="CM143" s="21">
        <f>EXP(-LN(2)/2)*CM142+(1-EXP(-LN(2)/2))/(LN(2)/2)*CG143*CJ143*VLOOKUP('Données projet'!$B$12,Paramètres!$A$1:$I$89,3,0)*0.475*44/12</f>
        <v>1.6968955382730537E-16</v>
      </c>
      <c r="CN143" s="22">
        <f t="shared" si="120"/>
        <v>0.32444866443462139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2.9706370696658272E-14</v>
      </c>
      <c r="CV143" s="13">
        <f t="shared" si="149"/>
        <v>5.1399863782592153E-13</v>
      </c>
      <c r="CW143" s="20">
        <f t="shared" si="121"/>
        <v>9.4695288984349312E-13</v>
      </c>
      <c r="CX143" s="59">
        <f t="shared" si="122"/>
        <v>293.33333333333428</v>
      </c>
      <c r="CY143" s="59">
        <f ca="1">AVERAGE(OFFSET($CX$3,0,0,'Données projet'!$E$13+1,1))-AVERAGE(OFFSET($H$3,0,0,'Données projet'!$E$13+1,1))</f>
        <v>177.94336949486529</v>
      </c>
      <c r="CZ143" s="59">
        <f t="shared" si="150"/>
        <v>65.559373432574603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3.3992364478763198E-14</v>
      </c>
      <c r="DQ143" s="13">
        <f t="shared" si="151"/>
        <v>5.790027782444094E-13</v>
      </c>
      <c r="DR143" s="20">
        <f t="shared" si="124"/>
        <v>1.0676332069095257E-12</v>
      </c>
      <c r="DS143" s="59">
        <f t="shared" si="125"/>
        <v>293.33333333333439</v>
      </c>
      <c r="DT143" s="59">
        <f ca="1">AVERAGE(OFFSET($DS$3,0,0,'Données projet'!$E$14+1,1))-AVERAGE(OFFSET($H$3,0,0,'Données projet'!$E$14+1,1))</f>
        <v>165.39579887388538</v>
      </c>
      <c r="DU143" s="59">
        <f t="shared" si="152"/>
        <v>155.89639262545802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0.34526342642035762</v>
      </c>
      <c r="EC143" s="21">
        <f>EXP(-LN(2)/2)*EC142+(1-EXP(-LN(2)/2))/(LN(2)/2)*DW143*DZ143*VLOOKUP('Données projet'!$B$14,Paramètres!$A$1:$I$89,3,0)*0.475*44/12</f>
        <v>3.8524838140088645E-16</v>
      </c>
      <c r="ED143" s="22">
        <f t="shared" si="126"/>
        <v>0.34526342642035801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-1.1368683772161603E-12</v>
      </c>
      <c r="EK143" s="17">
        <f>EJ143*VLOOKUP('Données projet'!$B$15,Paramètres!$A$1:$I$89,3,0)*VLOOKUP('Données projet'!$B$15,Paramètres!$A$1:$I$89,5,0)</f>
        <v>-5.4683368944097316E-13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252.30925789500111</v>
      </c>
      <c r="EP143" s="59">
        <f t="shared" si="154"/>
        <v>213.96033794804805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0.52446411895172385</v>
      </c>
      <c r="EW143" s="21">
        <f>EXP(-LN(2)/25)*EW142+(1-EXP(-LN(2)/25))/(LN(2)/25)*Calculateur!ER143*Calculateur!ET143*VLOOKUP('Données projet'!$B$15,Paramètres!$A$1:$I$89,3,0)*0.475*44/12</f>
        <v>0.43711399366106546</v>
      </c>
      <c r="EX143" s="21">
        <f>EXP(-LN(2)/2)*EX142+(1-EXP(-LN(2)/2))/(LN(2)/2)*ER143*EU143*VLOOKUP('Données projet'!$B$15,Paramètres!$A$1:$I$89,3,0)*0.475*44/12</f>
        <v>3.9905685997071693E-16</v>
      </c>
      <c r="EY143" s="22">
        <f t="shared" si="129"/>
        <v>0.9615781126127898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-1.1368683772161603E-12</v>
      </c>
      <c r="FF143" s="17">
        <f>FE143*VLOOKUP('Données projet'!$B$16,Paramètres!$A$1:$I$89,3,0)*VLOOKUP('Données projet'!$B$16,Paramètres!$A$1:$I$89,5,0)</f>
        <v>-5.4683368944097316E-13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252.30925789500111</v>
      </c>
      <c r="FK143" s="59">
        <f t="shared" si="156"/>
        <v>213.96033794804805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0.52446411895172385</v>
      </c>
      <c r="FR143" s="21">
        <f>EXP(-LN(2)/25)*FR142+(1-EXP(-LN(2)/25))/(LN(2)/25)*Calculateur!FM143*Calculateur!FO143*VLOOKUP('Données projet'!$B$16,Paramètres!$A$1:$I$89,3,0)*0.475*44/12</f>
        <v>0.43711399366106546</v>
      </c>
      <c r="FS143" s="21">
        <f>EXP(-LN(2)/2)*FS142+(1-EXP(-LN(2)/2))/(LN(2)/2)*FM143*FP143*VLOOKUP('Données projet'!$B$16,Paramètres!$A$1:$I$89,3,0)*0.475*44/12</f>
        <v>3.9905685997071693E-16</v>
      </c>
      <c r="FT143" s="22">
        <f t="shared" si="132"/>
        <v>0.9615781126127898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117.54638373164624</v>
      </c>
      <c r="GF143" s="59">
        <f t="shared" si="158"/>
        <v>133.0740262536583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0.25046640871621201</v>
      </c>
      <c r="GM143" s="21">
        <f>EXP(-LN(2)/25)*GM142+(1-EXP(-LN(2)/25))/(LN(2)/25)*Calculateur!GH143*Calculateur!GJ143*VLOOKUP('Données projet'!$B$17,Paramètres!$A$1:$I$89,3,0)*0.475*44/12</f>
        <v>0.40998187336627095</v>
      </c>
      <c r="GN143" s="21">
        <f>EXP(-LN(2)/2)*GN142+(1-EXP(-LN(2)/2))/(LN(2)/2)*GH143*GK143*VLOOKUP('Données projet'!$B$17,Paramètres!$A$1:$I$89,3,0)*0.475*44/12</f>
        <v>1.122858087253803E-16</v>
      </c>
      <c r="GO143" s="21">
        <f t="shared" si="135"/>
        <v>0.66044828208248307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2.8421709430404007E-14</v>
      </c>
      <c r="GV143" s="17">
        <f>GU143*VLOOKUP('Données projet'!$B$18,Paramètres!$A$1:$I$89,3,0)*VLOOKUP('Données projet'!$B$18,Paramètres!$A$1:$I$89,5,0)</f>
        <v>1.3567387213697657E-14</v>
      </c>
      <c r="GW143" s="13">
        <f t="shared" si="159"/>
        <v>2.5717320947985821E-13</v>
      </c>
      <c r="GX143" s="20">
        <f t="shared" si="136"/>
        <v>4.7153987257460977E-13</v>
      </c>
      <c r="GY143" s="59">
        <f t="shared" si="137"/>
        <v>293.33333333333377</v>
      </c>
      <c r="GZ143" s="59">
        <f ca="1">AVERAGE(OFFSET($GY$3,0,0,'Données projet'!$E$18+1,1))-AVERAGE(OFFSET($H$3,0,0,'Données projet'!$E$18+1,1))</f>
        <v>43.147469606759159</v>
      </c>
      <c r="HA143" s="59">
        <f t="shared" si="160"/>
        <v>147.46995307968473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4.0827815950940129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1.5298303103100359E-17</v>
      </c>
      <c r="HJ143" s="22">
        <f t="shared" si="138"/>
        <v>4.0827815950940129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2.8421709430404007E-14</v>
      </c>
      <c r="O144" s="13">
        <f>N144*VLOOKUP('Données projet'!$B$9,Paramètres!$A$1:$I$89,3,0)*VLOOKUP('Données projet'!$B$9,Paramètres!$A$1:$I$89,5,0)</f>
        <v>2.5715962692629544E-14</v>
      </c>
      <c r="P144" s="13">
        <f t="shared" si="141"/>
        <v>4.5248818890525812E-13</v>
      </c>
      <c r="Q144" s="20">
        <f t="shared" si="108"/>
        <v>8.3287223069965432E-13</v>
      </c>
      <c r="R144" s="59">
        <f t="shared" si="109"/>
        <v>293.33333333333417</v>
      </c>
      <c r="S144" s="59">
        <f ca="1">AVERAGE(OFFSET($R$3,0,0,'Données projet'!$E$9+1,1))-AVERAGE(OFFSET($H$3,0,0,'Données projet'!$E$9+1,1))</f>
        <v>138.8931001150624</v>
      </c>
      <c r="T144" s="59">
        <f t="shared" si="142"/>
        <v>48.964659354096625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-7.4487616075202836E-14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191.94797389630673</v>
      </c>
      <c r="AO144" s="59">
        <f t="shared" si="144"/>
        <v>273.52540822767878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0.64721114532722812</v>
      </c>
      <c r="AW144" s="21">
        <f>EXP(-LN(2)/2)*AW143+(1-EXP(-LN(2)/2))/(LN(2)/2)*AQ144*AT144*VLOOKUP('Données projet'!$B$10,Paramètres!$A$1:$I$89,3,0)*0.475*44/12</f>
        <v>4.5538692635672524E-16</v>
      </c>
      <c r="AX144" s="21">
        <f t="shared" si="114"/>
        <v>0.93298648637991111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3.5470293369144201E-14</v>
      </c>
      <c r="BF144" s="13">
        <f t="shared" si="145"/>
        <v>6.0119115841663204E-13</v>
      </c>
      <c r="BG144" s="20">
        <f t="shared" si="115"/>
        <v>1.1088520285268936E-12</v>
      </c>
      <c r="BH144" s="59">
        <f t="shared" si="116"/>
        <v>293.33333333333445</v>
      </c>
      <c r="BI144" s="59">
        <f ca="1">AVERAGE(OFFSET($BH$3,0,0,'Données projet'!$E$11+1,1))-AVERAGE(OFFSET($H$3,0,0,'Données projet'!$E$11+1,1))</f>
        <v>162.91481796710048</v>
      </c>
      <c r="BJ144" s="59">
        <f t="shared" si="146"/>
        <v>182.56192390367823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0.30871454697364048</v>
      </c>
      <c r="BQ144" s="21">
        <f>EXP(-LN(2)/25)*BQ143+(1-EXP(-LN(2)/25))/(LN(2)/25)*Calculateur!BL144*Calculateur!BN144*VLOOKUP('Données projet'!$B$11,Paramètres!$A$1:$I$89,3,0)*0.475*44/12</f>
        <v>0.70389894977123668</v>
      </c>
      <c r="BR144" s="21">
        <f>EXP(-LN(2)/2)*BR143+(1-EXP(-LN(2)/2))/(LN(2)/2)*BL144*BO144*VLOOKUP('Données projet'!$B$11,Paramètres!$A$1:$I$89,3,0)*0.475*44/12</f>
        <v>3.5267643303895465E-16</v>
      </c>
      <c r="BS144" s="22">
        <f t="shared" si="117"/>
        <v>1.0126134967448777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-5.3205440053716299E-14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123.60520571614535</v>
      </c>
      <c r="CE144" s="59">
        <f t="shared" si="148"/>
        <v>119.00926870519527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9.6266567437985742E-2</v>
      </c>
      <c r="CL144" s="21">
        <f>EXP(-LN(2)/25)*CL143+(1-EXP(-LN(2)/25))/(LN(2)/25)*Calculateur!CG144*Calculateur!CI144*VLOOKUP('Données projet'!$B$12,Paramètres!$A$1:$I$89,3,0)*0.475*44/12</f>
        <v>0.22006961179611748</v>
      </c>
      <c r="CM144" s="21">
        <f>EXP(-LN(2)/2)*CM143+(1-EXP(-LN(2)/2))/(LN(2)/2)*CG144*CJ144*VLOOKUP('Données projet'!$B$12,Paramètres!$A$1:$I$89,3,0)*0.475*44/12</f>
        <v>1.1998863420780729E-16</v>
      </c>
      <c r="CN144" s="22">
        <f t="shared" si="120"/>
        <v>0.31633617923410334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2.9706370696658272E-14</v>
      </c>
      <c r="CV144" s="13">
        <f t="shared" si="149"/>
        <v>5.1399863782592153E-13</v>
      </c>
      <c r="CW144" s="20">
        <f t="shared" si="121"/>
        <v>9.4695288984349312E-13</v>
      </c>
      <c r="CX144" s="59">
        <f t="shared" si="122"/>
        <v>293.33333333333428</v>
      </c>
      <c r="CY144" s="59">
        <f ca="1">AVERAGE(OFFSET($CX$3,0,0,'Données projet'!$E$13+1,1))-AVERAGE(OFFSET($H$3,0,0,'Données projet'!$E$13+1,1))</f>
        <v>177.94336949486529</v>
      </c>
      <c r="CZ144" s="59">
        <f t="shared" si="150"/>
        <v>65.559373432574603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3.3992364478763198E-14</v>
      </c>
      <c r="DQ144" s="13">
        <f t="shared" si="151"/>
        <v>5.790027782444094E-13</v>
      </c>
      <c r="DR144" s="20">
        <f t="shared" si="124"/>
        <v>1.0676332069095257E-12</v>
      </c>
      <c r="DS144" s="59">
        <f t="shared" si="125"/>
        <v>293.33333333333439</v>
      </c>
      <c r="DT144" s="59">
        <f ca="1">AVERAGE(OFFSET($DS$3,0,0,'Données projet'!$E$14+1,1))-AVERAGE(OFFSET($H$3,0,0,'Données projet'!$E$14+1,1))</f>
        <v>165.39579887388538</v>
      </c>
      <c r="DU144" s="59">
        <f t="shared" si="152"/>
        <v>155.89639262545802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0.33582217986827845</v>
      </c>
      <c r="EC144" s="21">
        <f>EXP(-LN(2)/2)*EC143+(1-EXP(-LN(2)/2))/(LN(2)/2)*DW144*DZ144*VLOOKUP('Données projet'!$B$14,Paramètres!$A$1:$I$89,3,0)*0.475*44/12</f>
        <v>2.7241174292970822E-16</v>
      </c>
      <c r="ED144" s="22">
        <f t="shared" si="126"/>
        <v>0.33582217986827873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-1.1368683772161603E-12</v>
      </c>
      <c r="EK144" s="17">
        <f>EJ144*VLOOKUP('Données projet'!$B$15,Paramètres!$A$1:$I$89,3,0)*VLOOKUP('Données projet'!$B$15,Paramètres!$A$1:$I$89,5,0)</f>
        <v>-5.4683368944097316E-13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252.30925789500111</v>
      </c>
      <c r="EP144" s="59">
        <f t="shared" si="154"/>
        <v>213.96033794804805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0.51417969747060643</v>
      </c>
      <c r="EW144" s="21">
        <f>EXP(-LN(2)/25)*EW143+(1-EXP(-LN(2)/25))/(LN(2)/25)*Calculateur!ER144*Calculateur!ET144*VLOOKUP('Données projet'!$B$15,Paramètres!$A$1:$I$89,3,0)*0.475*44/12</f>
        <v>0.42516108851757772</v>
      </c>
      <c r="EX144" s="21">
        <f>EXP(-LN(2)/2)*EX143+(1-EXP(-LN(2)/2))/(LN(2)/2)*ER144*EU144*VLOOKUP('Données projet'!$B$15,Paramètres!$A$1:$I$89,3,0)*0.475*44/12</f>
        <v>2.8217581176430447E-16</v>
      </c>
      <c r="EY144" s="22">
        <f t="shared" si="129"/>
        <v>0.93934078598818449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-1.1368683772161603E-12</v>
      </c>
      <c r="FF144" s="17">
        <f>FE144*VLOOKUP('Données projet'!$B$16,Paramètres!$A$1:$I$89,3,0)*VLOOKUP('Données projet'!$B$16,Paramètres!$A$1:$I$89,5,0)</f>
        <v>-5.4683368944097316E-13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252.30925789500111</v>
      </c>
      <c r="FK144" s="59">
        <f t="shared" si="156"/>
        <v>213.96033794804805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0.51417969747060643</v>
      </c>
      <c r="FR144" s="21">
        <f>EXP(-LN(2)/25)*FR143+(1-EXP(-LN(2)/25))/(LN(2)/25)*Calculateur!FM144*Calculateur!FO144*VLOOKUP('Données projet'!$B$16,Paramètres!$A$1:$I$89,3,0)*0.475*44/12</f>
        <v>0.42516108851757772</v>
      </c>
      <c r="FS144" s="21">
        <f>EXP(-LN(2)/2)*FS143+(1-EXP(-LN(2)/2))/(LN(2)/2)*FM144*FP144*VLOOKUP('Données projet'!$B$16,Paramètres!$A$1:$I$89,3,0)*0.475*44/12</f>
        <v>2.8217581176430447E-16</v>
      </c>
      <c r="FT144" s="22">
        <f t="shared" si="132"/>
        <v>0.93934078598818449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117.54638373164624</v>
      </c>
      <c r="GF144" s="59">
        <f t="shared" si="158"/>
        <v>133.0740262536583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0.24555491521071168</v>
      </c>
      <c r="GM144" s="21">
        <f>EXP(-LN(2)/25)*GM143+(1-EXP(-LN(2)/25))/(LN(2)/25)*Calculateur!GH144*Calculateur!GJ144*VLOOKUP('Données projet'!$B$17,Paramètres!$A$1:$I$89,3,0)*0.475*44/12</f>
        <v>0.39877089747906058</v>
      </c>
      <c r="GN144" s="21">
        <f>EXP(-LN(2)/2)*GN143+(1-EXP(-LN(2)/2))/(LN(2)/2)*GH144*GK144*VLOOKUP('Données projet'!$B$17,Paramètres!$A$1:$I$89,3,0)*0.475*44/12</f>
        <v>7.939805678073202E-17</v>
      </c>
      <c r="GO144" s="21">
        <f t="shared" si="135"/>
        <v>0.6443258126897724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2.8421709430404007E-14</v>
      </c>
      <c r="GV144" s="17">
        <f>GU144*VLOOKUP('Données projet'!$B$18,Paramètres!$A$1:$I$89,3,0)*VLOOKUP('Données projet'!$B$18,Paramètres!$A$1:$I$89,5,0)</f>
        <v>1.3567387213697657E-14</v>
      </c>
      <c r="GW144" s="13">
        <f t="shared" si="159"/>
        <v>2.5717320947985821E-13</v>
      </c>
      <c r="GX144" s="20">
        <f t="shared" si="136"/>
        <v>4.7153987257460977E-13</v>
      </c>
      <c r="GY144" s="59">
        <f t="shared" si="137"/>
        <v>293.33333333333377</v>
      </c>
      <c r="GZ144" s="59">
        <f ca="1">AVERAGE(OFFSET($GY$3,0,0,'Données projet'!$E$18+1,1))-AVERAGE(OFFSET($H$3,0,0,'Données projet'!$E$18+1,1))</f>
        <v>43.147469606759159</v>
      </c>
      <c r="HA144" s="59">
        <f t="shared" si="160"/>
        <v>147.46995307968473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4.0027207382651007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1.0817533864849467E-17</v>
      </c>
      <c r="HJ144" s="22">
        <f t="shared" si="138"/>
        <v>4.0027207382651007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2.8421709430404007E-14</v>
      </c>
      <c r="O145" s="13">
        <f>N145*VLOOKUP('Données projet'!$B$9,Paramètres!$A$1:$I$89,3,0)*VLOOKUP('Données projet'!$B$9,Paramètres!$A$1:$I$89,5,0)</f>
        <v>2.5715962692629544E-14</v>
      </c>
      <c r="P145" s="13">
        <f t="shared" si="141"/>
        <v>4.5248818890525812E-13</v>
      </c>
      <c r="Q145" s="20">
        <f t="shared" si="108"/>
        <v>8.3287223069965432E-13</v>
      </c>
      <c r="R145" s="59">
        <f t="shared" si="109"/>
        <v>293.33333333333417</v>
      </c>
      <c r="S145" s="59">
        <f ca="1">AVERAGE(OFFSET($R$3,0,0,'Données projet'!$E$9+1,1))-AVERAGE(OFFSET($H$3,0,0,'Données projet'!$E$9+1,1))</f>
        <v>138.8931001150624</v>
      </c>
      <c r="T145" s="59">
        <f t="shared" si="142"/>
        <v>48.964659354096625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-7.4487616075202836E-14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191.94797389630673</v>
      </c>
      <c r="AO145" s="59">
        <f t="shared" si="144"/>
        <v>273.52540822767878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0.62951312252290015</v>
      </c>
      <c r="AW145" s="21">
        <f>EXP(-LN(2)/2)*AW144+(1-EXP(-LN(2)/2))/(LN(2)/2)*AQ145*AT145*VLOOKUP('Données projet'!$B$10,Paramètres!$A$1:$I$89,3,0)*0.475*44/12</f>
        <v>3.2200718369053936E-16</v>
      </c>
      <c r="AX145" s="21">
        <f t="shared" si="114"/>
        <v>0.90968458344328673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3.5470293369144201E-14</v>
      </c>
      <c r="BF145" s="13">
        <f t="shared" si="145"/>
        <v>6.0119115841663204E-13</v>
      </c>
      <c r="BG145" s="20">
        <f t="shared" si="115"/>
        <v>1.1088520285268936E-12</v>
      </c>
      <c r="BH145" s="59">
        <f t="shared" si="116"/>
        <v>293.33333333333445</v>
      </c>
      <c r="BI145" s="59">
        <f ca="1">AVERAGE(OFFSET($BH$3,0,0,'Données projet'!$E$11+1,1))-AVERAGE(OFFSET($H$3,0,0,'Données projet'!$E$11+1,1))</f>
        <v>162.91481796710048</v>
      </c>
      <c r="BJ145" s="59">
        <f t="shared" si="146"/>
        <v>182.56192390367823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0.30266084300476825</v>
      </c>
      <c r="BQ145" s="21">
        <f>EXP(-LN(2)/25)*BQ144+(1-EXP(-LN(2)/25))/(LN(2)/25)*Calculateur!BL145*Calculateur!BN145*VLOOKUP('Données projet'!$B$11,Paramètres!$A$1:$I$89,3,0)*0.475*44/12</f>
        <v>0.68465079597330525</v>
      </c>
      <c r="BR145" s="21">
        <f>EXP(-LN(2)/2)*BR144+(1-EXP(-LN(2)/2))/(LN(2)/2)*BL145*BO145*VLOOKUP('Données projet'!$B$11,Paramètres!$A$1:$I$89,3,0)*0.475*44/12</f>
        <v>2.4937989736652818E-16</v>
      </c>
      <c r="BS145" s="22">
        <f t="shared" si="117"/>
        <v>0.98731163897807372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-5.3205440053716299E-14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123.60520571614535</v>
      </c>
      <c r="CE145" s="59">
        <f t="shared" si="148"/>
        <v>119.00926870519527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9.4378838767335174E-2</v>
      </c>
      <c r="CL145" s="21">
        <f>EXP(-LN(2)/25)*CL144+(1-EXP(-LN(2)/25))/(LN(2)/25)*Calculateur!CG145*Calculateur!CI145*VLOOKUP('Données projet'!$B$12,Paramètres!$A$1:$I$89,3,0)*0.475*44/12</f>
        <v>0.21405179668859473</v>
      </c>
      <c r="CM145" s="21">
        <f>EXP(-LN(2)/2)*CM144+(1-EXP(-LN(2)/2))/(LN(2)/2)*CG145*CJ145*VLOOKUP('Données projet'!$B$12,Paramètres!$A$1:$I$89,3,0)*0.475*44/12</f>
        <v>8.4844776913652685E-17</v>
      </c>
      <c r="CN145" s="22">
        <f t="shared" si="120"/>
        <v>0.30843063545593002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2.9706370696658272E-14</v>
      </c>
      <c r="CV145" s="13">
        <f t="shared" si="149"/>
        <v>5.1399863782592153E-13</v>
      </c>
      <c r="CW145" s="20">
        <f t="shared" si="121"/>
        <v>9.4695288984349312E-13</v>
      </c>
      <c r="CX145" s="59">
        <f t="shared" si="122"/>
        <v>293.33333333333428</v>
      </c>
      <c r="CY145" s="59">
        <f ca="1">AVERAGE(OFFSET($CX$3,0,0,'Données projet'!$E$13+1,1))-AVERAGE(OFFSET($H$3,0,0,'Données projet'!$E$13+1,1))</f>
        <v>177.94336949486529</v>
      </c>
      <c r="CZ145" s="59">
        <f t="shared" si="150"/>
        <v>65.559373432574603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3.3992364478763198E-14</v>
      </c>
      <c r="DQ145" s="13">
        <f t="shared" si="151"/>
        <v>5.790027782444094E-13</v>
      </c>
      <c r="DR145" s="20">
        <f t="shared" si="124"/>
        <v>1.0676332069095257E-12</v>
      </c>
      <c r="DS145" s="59">
        <f t="shared" si="125"/>
        <v>293.33333333333439</v>
      </c>
      <c r="DT145" s="59">
        <f ca="1">AVERAGE(OFFSET($DS$3,0,0,'Données projet'!$E$14+1,1))-AVERAGE(OFFSET($H$3,0,0,'Données projet'!$E$14+1,1))</f>
        <v>165.39579887388538</v>
      </c>
      <c r="DU145" s="59">
        <f t="shared" si="152"/>
        <v>155.89639262545802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0.32663910469965945</v>
      </c>
      <c r="EC145" s="21">
        <f>EXP(-LN(2)/2)*EC144+(1-EXP(-LN(2)/2))/(LN(2)/2)*DW145*DZ145*VLOOKUP('Données projet'!$B$14,Paramètres!$A$1:$I$89,3,0)*0.475*44/12</f>
        <v>1.9262419070044323E-16</v>
      </c>
      <c r="ED145" s="22">
        <f t="shared" si="126"/>
        <v>0.32663910469965962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-1.1368683772161603E-12</v>
      </c>
      <c r="EK145" s="17">
        <f>EJ145*VLOOKUP('Données projet'!$B$15,Paramètres!$A$1:$I$89,3,0)*VLOOKUP('Données projet'!$B$15,Paramètres!$A$1:$I$89,5,0)</f>
        <v>-5.4683368944097316E-13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252.30925789500111</v>
      </c>
      <c r="EP145" s="59">
        <f t="shared" si="154"/>
        <v>213.96033794804805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0.50409694722185605</v>
      </c>
      <c r="EW145" s="21">
        <f>EXP(-LN(2)/25)*EW144+(1-EXP(-LN(2)/25))/(LN(2)/25)*Calculateur!ER145*Calculateur!ET145*VLOOKUP('Données projet'!$B$15,Paramètres!$A$1:$I$89,3,0)*0.475*44/12</f>
        <v>0.41353503619381465</v>
      </c>
      <c r="EX145" s="21">
        <f>EXP(-LN(2)/2)*EX144+(1-EXP(-LN(2)/2))/(LN(2)/2)*ER145*EU145*VLOOKUP('Données projet'!$B$15,Paramètres!$A$1:$I$89,3,0)*0.475*44/12</f>
        <v>1.9952842998535847E-16</v>
      </c>
      <c r="EY145" s="22">
        <f t="shared" si="129"/>
        <v>0.91763198341567098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-1.1368683772161603E-12</v>
      </c>
      <c r="FF145" s="17">
        <f>FE145*VLOOKUP('Données projet'!$B$16,Paramètres!$A$1:$I$89,3,0)*VLOOKUP('Données projet'!$B$16,Paramètres!$A$1:$I$89,5,0)</f>
        <v>-5.4683368944097316E-13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252.30925789500111</v>
      </c>
      <c r="FK145" s="59">
        <f t="shared" si="156"/>
        <v>213.96033794804805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0.50409694722185605</v>
      </c>
      <c r="FR145" s="21">
        <f>EXP(-LN(2)/25)*FR144+(1-EXP(-LN(2)/25))/(LN(2)/25)*Calculateur!FM145*Calculateur!FO145*VLOOKUP('Données projet'!$B$16,Paramètres!$A$1:$I$89,3,0)*0.475*44/12</f>
        <v>0.41353503619381465</v>
      </c>
      <c r="FS145" s="21">
        <f>EXP(-LN(2)/2)*FS144+(1-EXP(-LN(2)/2))/(LN(2)/2)*FM145*FP145*VLOOKUP('Données projet'!$B$16,Paramètres!$A$1:$I$89,3,0)*0.475*44/12</f>
        <v>1.9952842998535847E-16</v>
      </c>
      <c r="FT145" s="22">
        <f t="shared" si="132"/>
        <v>0.91763198341567098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117.54638373164624</v>
      </c>
      <c r="GF145" s="59">
        <f t="shared" si="158"/>
        <v>133.0740262536583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0.24073973309713897</v>
      </c>
      <c r="GM145" s="21">
        <f>EXP(-LN(2)/25)*GM144+(1-EXP(-LN(2)/25))/(LN(2)/25)*Calculateur!GH145*Calculateur!GJ145*VLOOKUP('Données projet'!$B$17,Paramètres!$A$1:$I$89,3,0)*0.475*44/12</f>
        <v>0.38786648631704557</v>
      </c>
      <c r="GN145" s="21">
        <f>EXP(-LN(2)/2)*GN144+(1-EXP(-LN(2)/2))/(LN(2)/2)*GH145*GK145*VLOOKUP('Données projet'!$B$17,Paramètres!$A$1:$I$89,3,0)*0.475*44/12</f>
        <v>5.6142904362690152E-17</v>
      </c>
      <c r="GO145" s="21">
        <f t="shared" si="135"/>
        <v>0.62860621941418471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2.8421709430404007E-14</v>
      </c>
      <c r="GV145" s="17">
        <f>GU145*VLOOKUP('Données projet'!$B$18,Paramètres!$A$1:$I$89,3,0)*VLOOKUP('Données projet'!$B$18,Paramètres!$A$1:$I$89,5,0)</f>
        <v>1.3567387213697657E-14</v>
      </c>
      <c r="GW145" s="13">
        <f t="shared" si="159"/>
        <v>2.5717320947985821E-13</v>
      </c>
      <c r="GX145" s="20">
        <f t="shared" si="136"/>
        <v>4.7153987257460977E-13</v>
      </c>
      <c r="GY145" s="59">
        <f t="shared" si="137"/>
        <v>293.33333333333377</v>
      </c>
      <c r="GZ145" s="59">
        <f ca="1">AVERAGE(OFFSET($GY$3,0,0,'Données projet'!$E$18+1,1))-AVERAGE(OFFSET($H$3,0,0,'Données projet'!$E$18+1,1))</f>
        <v>43.147469606759159</v>
      </c>
      <c r="HA145" s="59">
        <f t="shared" si="160"/>
        <v>147.46995307968473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3.9242298260063024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7.6491515515501796E-18</v>
      </c>
      <c r="HJ145" s="22">
        <f t="shared" si="138"/>
        <v>3.9242298260063024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2.8421709430404007E-14</v>
      </c>
      <c r="O146" s="13">
        <f>N146*VLOOKUP('Données projet'!$B$9,Paramètres!$A$1:$I$89,3,0)*VLOOKUP('Données projet'!$B$9,Paramètres!$A$1:$I$89,5,0)</f>
        <v>2.5715962692629544E-14</v>
      </c>
      <c r="P146" s="13">
        <f t="shared" si="141"/>
        <v>4.5248818890525812E-13</v>
      </c>
      <c r="Q146" s="20">
        <f t="shared" si="108"/>
        <v>8.3287223069965432E-13</v>
      </c>
      <c r="R146" s="59">
        <f t="shared" si="109"/>
        <v>293.33333333333417</v>
      </c>
      <c r="S146" s="59">
        <f ca="1">AVERAGE(OFFSET($R$3,0,0,'Données projet'!$E$9+1,1))-AVERAGE(OFFSET($H$3,0,0,'Données projet'!$E$9+1,1))</f>
        <v>138.8931001150624</v>
      </c>
      <c r="T146" s="59">
        <f t="shared" si="142"/>
        <v>48.964659354096625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-7.4487616075202836E-14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191.94797389630673</v>
      </c>
      <c r="AO146" s="59">
        <f t="shared" si="144"/>
        <v>273.52540822767878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0.61229905308285515</v>
      </c>
      <c r="AW146" s="21">
        <f>EXP(-LN(2)/2)*AW145+(1-EXP(-LN(2)/2))/(LN(2)/2)*AQ146*AT146*VLOOKUP('Données projet'!$B$10,Paramètres!$A$1:$I$89,3,0)*0.475*44/12</f>
        <v>2.2769346317836262E-16</v>
      </c>
      <c r="AX146" s="21">
        <f t="shared" si="114"/>
        <v>0.8869765225423103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3.5470293369144201E-14</v>
      </c>
      <c r="BF146" s="13">
        <f t="shared" si="145"/>
        <v>6.0119115841663204E-13</v>
      </c>
      <c r="BG146" s="20">
        <f t="shared" si="115"/>
        <v>1.1088520285268936E-12</v>
      </c>
      <c r="BH146" s="59">
        <f t="shared" si="116"/>
        <v>293.33333333333445</v>
      </c>
      <c r="BI146" s="59">
        <f ca="1">AVERAGE(OFFSET($BH$3,0,0,'Données projet'!$E$11+1,1))-AVERAGE(OFFSET($H$3,0,0,'Données projet'!$E$11+1,1))</f>
        <v>162.91481796710048</v>
      </c>
      <c r="BJ146" s="59">
        <f t="shared" si="146"/>
        <v>182.56192390367823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0.29672584847833078</v>
      </c>
      <c r="BQ146" s="21">
        <f>EXP(-LN(2)/25)*BQ145+(1-EXP(-LN(2)/25))/(LN(2)/25)*Calculateur!BL146*Calculateur!BN146*VLOOKUP('Données projet'!$B$11,Paramètres!$A$1:$I$89,3,0)*0.475*44/12</f>
        <v>0.66592898395319466</v>
      </c>
      <c r="BR146" s="21">
        <f>EXP(-LN(2)/2)*BR145+(1-EXP(-LN(2)/2))/(LN(2)/2)*BL146*BO146*VLOOKUP('Données projet'!$B$11,Paramètres!$A$1:$I$89,3,0)*0.475*44/12</f>
        <v>1.7633821651947732E-16</v>
      </c>
      <c r="BS146" s="22">
        <f t="shared" si="117"/>
        <v>0.96265483243152561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-5.3205440053716299E-14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123.60520571614535</v>
      </c>
      <c r="CE146" s="59">
        <f t="shared" si="148"/>
        <v>119.00926870519527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9.2528127304515262E-2</v>
      </c>
      <c r="CL146" s="21">
        <f>EXP(-LN(2)/25)*CL145+(1-EXP(-LN(2)/25))/(LN(2)/25)*Calculateur!CG146*Calculateur!CI146*VLOOKUP('Données projet'!$B$12,Paramètres!$A$1:$I$89,3,0)*0.475*44/12</f>
        <v>0.20819853905165034</v>
      </c>
      <c r="CM146" s="21">
        <f>EXP(-LN(2)/2)*CM145+(1-EXP(-LN(2)/2))/(LN(2)/2)*CG146*CJ146*VLOOKUP('Données projet'!$B$12,Paramètres!$A$1:$I$89,3,0)*0.475*44/12</f>
        <v>5.9994317103903647E-17</v>
      </c>
      <c r="CN146" s="22">
        <f t="shared" si="120"/>
        <v>0.30072666635616568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2.9706370696658272E-14</v>
      </c>
      <c r="CV146" s="13">
        <f t="shared" si="149"/>
        <v>5.1399863782592153E-13</v>
      </c>
      <c r="CW146" s="20">
        <f t="shared" si="121"/>
        <v>9.4695288984349312E-13</v>
      </c>
      <c r="CX146" s="59">
        <f t="shared" si="122"/>
        <v>293.33333333333428</v>
      </c>
      <c r="CY146" s="59">
        <f ca="1">AVERAGE(OFFSET($CX$3,0,0,'Données projet'!$E$13+1,1))-AVERAGE(OFFSET($H$3,0,0,'Données projet'!$E$13+1,1))</f>
        <v>177.94336949486529</v>
      </c>
      <c r="CZ146" s="59">
        <f t="shared" si="150"/>
        <v>65.559373432574603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3.3992364478763198E-14</v>
      </c>
      <c r="DQ146" s="13">
        <f t="shared" si="151"/>
        <v>5.790027782444094E-13</v>
      </c>
      <c r="DR146" s="20">
        <f t="shared" si="124"/>
        <v>1.0676332069095257E-12</v>
      </c>
      <c r="DS146" s="59">
        <f t="shared" si="125"/>
        <v>293.33333333333439</v>
      </c>
      <c r="DT146" s="59">
        <f ca="1">AVERAGE(OFFSET($DS$3,0,0,'Données projet'!$E$14+1,1))-AVERAGE(OFFSET($H$3,0,0,'Données projet'!$E$14+1,1))</f>
        <v>165.39579887388538</v>
      </c>
      <c r="DU146" s="59">
        <f t="shared" si="152"/>
        <v>155.89639262545802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0.31770714120444332</v>
      </c>
      <c r="EC146" s="21">
        <f>EXP(-LN(2)/2)*EC145+(1-EXP(-LN(2)/2))/(LN(2)/2)*DW146*DZ146*VLOOKUP('Données projet'!$B$14,Paramètres!$A$1:$I$89,3,0)*0.475*44/12</f>
        <v>1.3620587146485411E-16</v>
      </c>
      <c r="ED146" s="22">
        <f t="shared" si="126"/>
        <v>0.31770714120444343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-1.1368683772161603E-12</v>
      </c>
      <c r="EK146" s="17">
        <f>EJ146*VLOOKUP('Données projet'!$B$15,Paramètres!$A$1:$I$89,3,0)*VLOOKUP('Données projet'!$B$15,Paramètres!$A$1:$I$89,5,0)</f>
        <v>-5.4683368944097316E-13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252.30925789500111</v>
      </c>
      <c r="EP146" s="59">
        <f t="shared" si="154"/>
        <v>213.96033794804805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0.49421191355561322</v>
      </c>
      <c r="EW146" s="21">
        <f>EXP(-LN(2)/25)*EW145+(1-EXP(-LN(2)/25))/(LN(2)/25)*Calculateur!ER146*Calculateur!ET146*VLOOKUP('Données projet'!$B$15,Paramètres!$A$1:$I$89,3,0)*0.475*44/12</f>
        <v>0.4022268988822324</v>
      </c>
      <c r="EX146" s="21">
        <f>EXP(-LN(2)/2)*EX145+(1-EXP(-LN(2)/2))/(LN(2)/2)*ER146*EU146*VLOOKUP('Données projet'!$B$15,Paramètres!$A$1:$I$89,3,0)*0.475*44/12</f>
        <v>1.4108790588215224E-16</v>
      </c>
      <c r="EY146" s="22">
        <f t="shared" si="129"/>
        <v>0.89643881243784573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-1.1368683772161603E-12</v>
      </c>
      <c r="FF146" s="17">
        <f>FE146*VLOOKUP('Données projet'!$B$16,Paramètres!$A$1:$I$89,3,0)*VLOOKUP('Données projet'!$B$16,Paramètres!$A$1:$I$89,5,0)</f>
        <v>-5.4683368944097316E-13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252.30925789500111</v>
      </c>
      <c r="FK146" s="59">
        <f t="shared" si="156"/>
        <v>213.96033794804805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0.49421191355561322</v>
      </c>
      <c r="FR146" s="21">
        <f>EXP(-LN(2)/25)*FR145+(1-EXP(-LN(2)/25))/(LN(2)/25)*Calculateur!FM146*Calculateur!FO146*VLOOKUP('Données projet'!$B$16,Paramètres!$A$1:$I$89,3,0)*0.475*44/12</f>
        <v>0.4022268988822324</v>
      </c>
      <c r="FS146" s="21">
        <f>EXP(-LN(2)/2)*FS145+(1-EXP(-LN(2)/2))/(LN(2)/2)*FM146*FP146*VLOOKUP('Données projet'!$B$16,Paramètres!$A$1:$I$89,3,0)*0.475*44/12</f>
        <v>1.4108790588215224E-16</v>
      </c>
      <c r="FT146" s="22">
        <f t="shared" si="132"/>
        <v>0.89643881243784573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117.54638373164624</v>
      </c>
      <c r="GF146" s="59">
        <f t="shared" si="158"/>
        <v>133.0740262536583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0.23601897376784234</v>
      </c>
      <c r="GM146" s="21">
        <f>EXP(-LN(2)/25)*GM145+(1-EXP(-LN(2)/25))/(LN(2)/25)*Calculateur!GH146*Calculateur!GJ146*VLOOKUP('Données projet'!$B$17,Paramètres!$A$1:$I$89,3,0)*0.475*44/12</f>
        <v>0.3772602568516939</v>
      </c>
      <c r="GN146" s="21">
        <f>EXP(-LN(2)/2)*GN145+(1-EXP(-LN(2)/2))/(LN(2)/2)*GH146*GK146*VLOOKUP('Données projet'!$B$17,Paramètres!$A$1:$I$89,3,0)*0.475*44/12</f>
        <v>3.969902839036601E-17</v>
      </c>
      <c r="GO146" s="21">
        <f t="shared" si="135"/>
        <v>0.61327923061953626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2.8421709430404007E-14</v>
      </c>
      <c r="GV146" s="17">
        <f>GU146*VLOOKUP('Données projet'!$B$18,Paramètres!$A$1:$I$89,3,0)*VLOOKUP('Données projet'!$B$18,Paramètres!$A$1:$I$89,5,0)</f>
        <v>1.3567387213697657E-14</v>
      </c>
      <c r="GW146" s="13">
        <f t="shared" si="159"/>
        <v>2.5717320947985821E-13</v>
      </c>
      <c r="GX146" s="20">
        <f t="shared" si="136"/>
        <v>4.7153987257460977E-13</v>
      </c>
      <c r="GY146" s="59">
        <f t="shared" si="137"/>
        <v>293.33333333333377</v>
      </c>
      <c r="GZ146" s="59">
        <f ca="1">AVERAGE(OFFSET($GY$3,0,0,'Données projet'!$E$18+1,1))-AVERAGE(OFFSET($H$3,0,0,'Données projet'!$E$18+1,1))</f>
        <v>43.147469606759159</v>
      </c>
      <c r="HA146" s="59">
        <f t="shared" si="160"/>
        <v>147.46995307968473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3.8472780726621698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5.4087669324247335E-18</v>
      </c>
      <c r="HJ146" s="22">
        <f t="shared" si="138"/>
        <v>3.8472780726621698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2.8421709430404007E-14</v>
      </c>
      <c r="O147" s="13">
        <f>N147*VLOOKUP('Données projet'!$B$9,Paramètres!$A$1:$I$89,3,0)*VLOOKUP('Données projet'!$B$9,Paramètres!$A$1:$I$89,5,0)</f>
        <v>2.5715962692629544E-14</v>
      </c>
      <c r="P147" s="13">
        <f t="shared" si="141"/>
        <v>4.5248818890525812E-13</v>
      </c>
      <c r="Q147" s="20">
        <f t="shared" si="108"/>
        <v>8.3287223069965432E-13</v>
      </c>
      <c r="R147" s="59">
        <f t="shared" si="109"/>
        <v>293.33333333333417</v>
      </c>
      <c r="S147" s="59">
        <f ca="1">AVERAGE(OFFSET($R$3,0,0,'Données projet'!$E$9+1,1))-AVERAGE(OFFSET($H$3,0,0,'Données projet'!$E$9+1,1))</f>
        <v>138.8931001150624</v>
      </c>
      <c r="T147" s="59">
        <f t="shared" si="142"/>
        <v>48.964659354096625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-7.4487616075202836E-14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191.94797389630673</v>
      </c>
      <c r="AO147" s="59">
        <f t="shared" si="144"/>
        <v>273.52540822767878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0.59555570327689666</v>
      </c>
      <c r="AW147" s="21">
        <f>EXP(-LN(2)/2)*AW146+(1-EXP(-LN(2)/2))/(LN(2)/2)*AQ147*AT147*VLOOKUP('Données projet'!$B$10,Paramètres!$A$1:$I$89,3,0)*0.475*44/12</f>
        <v>1.6100359184526968E-16</v>
      </c>
      <c r="AX147" s="21">
        <f t="shared" si="114"/>
        <v>0.86484691509696521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3.5470293369144201E-14</v>
      </c>
      <c r="BF147" s="13">
        <f t="shared" si="145"/>
        <v>6.0119115841663204E-13</v>
      </c>
      <c r="BG147" s="20">
        <f t="shared" si="115"/>
        <v>1.1088520285268936E-12</v>
      </c>
      <c r="BH147" s="59">
        <f t="shared" si="116"/>
        <v>293.33333333333445</v>
      </c>
      <c r="BI147" s="59">
        <f ca="1">AVERAGE(OFFSET($BH$3,0,0,'Données projet'!$E$11+1,1))-AVERAGE(OFFSET($H$3,0,0,'Données projet'!$E$11+1,1))</f>
        <v>162.91481796710048</v>
      </c>
      <c r="BJ147" s="59">
        <f t="shared" si="146"/>
        <v>182.56192390367823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0.29090723557456749</v>
      </c>
      <c r="BQ147" s="21">
        <f>EXP(-LN(2)/25)*BQ146+(1-EXP(-LN(2)/25))/(LN(2)/25)*Calculateur!BL147*Calculateur!BN147*VLOOKUP('Données projet'!$B$11,Paramètres!$A$1:$I$89,3,0)*0.475*44/12</f>
        <v>0.64771912086731132</v>
      </c>
      <c r="BR147" s="21">
        <f>EXP(-LN(2)/2)*BR146+(1-EXP(-LN(2)/2))/(LN(2)/2)*BL147*BO147*VLOOKUP('Données projet'!$B$11,Paramètres!$A$1:$I$89,3,0)*0.475*44/12</f>
        <v>1.2468994868326409E-16</v>
      </c>
      <c r="BS147" s="22">
        <f t="shared" si="117"/>
        <v>0.93862635644187897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-5.3205440053716299E-14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123.60520571614535</v>
      </c>
      <c r="CE147" s="59">
        <f t="shared" si="148"/>
        <v>119.00926870519527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9.0713707164658722E-2</v>
      </c>
      <c r="CL147" s="21">
        <f>EXP(-LN(2)/25)*CL146+(1-EXP(-LN(2)/25))/(LN(2)/25)*Calculateur!CG147*Calculateur!CI147*VLOOKUP('Données projet'!$B$12,Paramètres!$A$1:$I$89,3,0)*0.475*44/12</f>
        <v>0.20250533905259763</v>
      </c>
      <c r="CM147" s="21">
        <f>EXP(-LN(2)/2)*CM146+(1-EXP(-LN(2)/2))/(LN(2)/2)*CG147*CJ147*VLOOKUP('Données projet'!$B$12,Paramètres!$A$1:$I$89,3,0)*0.475*44/12</f>
        <v>4.2422388456826342E-17</v>
      </c>
      <c r="CN147" s="22">
        <f t="shared" si="120"/>
        <v>0.29321904621725642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2.9706370696658272E-14</v>
      </c>
      <c r="CV147" s="13">
        <f t="shared" si="149"/>
        <v>5.1399863782592153E-13</v>
      </c>
      <c r="CW147" s="20">
        <f t="shared" si="121"/>
        <v>9.4695288984349312E-13</v>
      </c>
      <c r="CX147" s="59">
        <f t="shared" si="122"/>
        <v>293.33333333333428</v>
      </c>
      <c r="CY147" s="59">
        <f ca="1">AVERAGE(OFFSET($CX$3,0,0,'Données projet'!$E$13+1,1))-AVERAGE(OFFSET($H$3,0,0,'Données projet'!$E$13+1,1))</f>
        <v>177.94336949486529</v>
      </c>
      <c r="CZ147" s="59">
        <f t="shared" si="150"/>
        <v>65.559373432574603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3.3992364478763198E-14</v>
      </c>
      <c r="DQ147" s="13">
        <f t="shared" si="151"/>
        <v>5.790027782444094E-13</v>
      </c>
      <c r="DR147" s="20">
        <f t="shared" si="124"/>
        <v>1.0676332069095257E-12</v>
      </c>
      <c r="DS147" s="59">
        <f t="shared" si="125"/>
        <v>293.33333333333439</v>
      </c>
      <c r="DT147" s="59">
        <f ca="1">AVERAGE(OFFSET($DS$3,0,0,'Données projet'!$E$14+1,1))-AVERAGE(OFFSET($H$3,0,0,'Données projet'!$E$14+1,1))</f>
        <v>165.39579887388538</v>
      </c>
      <c r="DU147" s="59">
        <f t="shared" si="152"/>
        <v>155.89639262545802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0.30901942272071542</v>
      </c>
      <c r="EC147" s="21">
        <f>EXP(-LN(2)/2)*EC146+(1-EXP(-LN(2)/2))/(LN(2)/2)*DW147*DZ147*VLOOKUP('Données projet'!$B$14,Paramètres!$A$1:$I$89,3,0)*0.475*44/12</f>
        <v>9.6312095350221614E-17</v>
      </c>
      <c r="ED147" s="22">
        <f t="shared" si="126"/>
        <v>0.30901942272071553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-1.1368683772161603E-12</v>
      </c>
      <c r="EK147" s="17">
        <f>EJ147*VLOOKUP('Données projet'!$B$15,Paramètres!$A$1:$I$89,3,0)*VLOOKUP('Données projet'!$B$15,Paramètres!$A$1:$I$89,5,0)</f>
        <v>-5.4683368944097316E-13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252.30925789500111</v>
      </c>
      <c r="EP147" s="59">
        <f t="shared" si="154"/>
        <v>213.96033794804805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0.48452071937029023</v>
      </c>
      <c r="EW147" s="21">
        <f>EXP(-LN(2)/25)*EW146+(1-EXP(-LN(2)/25))/(LN(2)/25)*Calculateur!ER147*Calculateur!ET147*VLOOKUP('Données projet'!$B$15,Paramètres!$A$1:$I$89,3,0)*0.475*44/12</f>
        <v>0.39122798318010443</v>
      </c>
      <c r="EX147" s="21">
        <f>EXP(-LN(2)/2)*EX146+(1-EXP(-LN(2)/2))/(LN(2)/2)*ER147*EU147*VLOOKUP('Données projet'!$B$15,Paramètres!$A$1:$I$89,3,0)*0.475*44/12</f>
        <v>9.9764214992679234E-17</v>
      </c>
      <c r="EY147" s="22">
        <f t="shared" si="129"/>
        <v>0.87574870255039483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-1.1368683772161603E-12</v>
      </c>
      <c r="FF147" s="17">
        <f>FE147*VLOOKUP('Données projet'!$B$16,Paramètres!$A$1:$I$89,3,0)*VLOOKUP('Données projet'!$B$16,Paramètres!$A$1:$I$89,5,0)</f>
        <v>-5.4683368944097316E-13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252.30925789500111</v>
      </c>
      <c r="FK147" s="59">
        <f t="shared" si="156"/>
        <v>213.96033794804805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0.48452071937029023</v>
      </c>
      <c r="FR147" s="21">
        <f>EXP(-LN(2)/25)*FR146+(1-EXP(-LN(2)/25))/(LN(2)/25)*Calculateur!FM147*Calculateur!FO147*VLOOKUP('Données projet'!$B$16,Paramètres!$A$1:$I$89,3,0)*0.475*44/12</f>
        <v>0.39122798318010443</v>
      </c>
      <c r="FS147" s="21">
        <f>EXP(-LN(2)/2)*FS146+(1-EXP(-LN(2)/2))/(LN(2)/2)*FM147*FP147*VLOOKUP('Données projet'!$B$16,Paramètres!$A$1:$I$89,3,0)*0.475*44/12</f>
        <v>9.9764214992679234E-17</v>
      </c>
      <c r="FT147" s="22">
        <f t="shared" si="132"/>
        <v>0.87574870255039483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117.54638373164624</v>
      </c>
      <c r="GF147" s="59">
        <f t="shared" si="158"/>
        <v>133.0740262536583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0.23139078564961435</v>
      </c>
      <c r="GM147" s="21">
        <f>EXP(-LN(2)/25)*GM146+(1-EXP(-LN(2)/25))/(LN(2)/25)*Calculateur!GH147*Calculateur!GJ147*VLOOKUP('Données projet'!$B$17,Paramètres!$A$1:$I$89,3,0)*0.475*44/12</f>
        <v>0.36694405528882967</v>
      </c>
      <c r="GN147" s="21">
        <f>EXP(-LN(2)/2)*GN146+(1-EXP(-LN(2)/2))/(LN(2)/2)*GH147*GK147*VLOOKUP('Données projet'!$B$17,Paramètres!$A$1:$I$89,3,0)*0.475*44/12</f>
        <v>2.8071452181345076E-17</v>
      </c>
      <c r="GO147" s="21">
        <f t="shared" si="135"/>
        <v>0.59833484093844402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2.8421709430404007E-14</v>
      </c>
      <c r="GV147" s="17">
        <f>GU147*VLOOKUP('Données projet'!$B$18,Paramètres!$A$1:$I$89,3,0)*VLOOKUP('Données projet'!$B$18,Paramètres!$A$1:$I$89,5,0)</f>
        <v>1.3567387213697657E-14</v>
      </c>
      <c r="GW147" s="13">
        <f t="shared" si="159"/>
        <v>2.5717320947985821E-13</v>
      </c>
      <c r="GX147" s="20">
        <f t="shared" si="136"/>
        <v>4.7153987257460977E-13</v>
      </c>
      <c r="GY147" s="59">
        <f t="shared" si="137"/>
        <v>293.33333333333377</v>
      </c>
      <c r="GZ147" s="59">
        <f ca="1">AVERAGE(OFFSET($GY$3,0,0,'Données projet'!$E$18+1,1))-AVERAGE(OFFSET($H$3,0,0,'Données projet'!$E$18+1,1))</f>
        <v>43.147469606759159</v>
      </c>
      <c r="HA147" s="59">
        <f t="shared" si="160"/>
        <v>147.46995307968473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3.7718352962651807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3.8245757757750898E-18</v>
      </c>
      <c r="HJ147" s="22">
        <f t="shared" si="138"/>
        <v>3.7718352962651807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2.8421709430404007E-14</v>
      </c>
      <c r="O148" s="13">
        <f>N148*VLOOKUP('Données projet'!$B$9,Paramètres!$A$1:$I$89,3,0)*VLOOKUP('Données projet'!$B$9,Paramètres!$A$1:$I$89,5,0)</f>
        <v>2.5715962692629544E-14</v>
      </c>
      <c r="P148" s="13">
        <f t="shared" si="141"/>
        <v>4.5248818890525812E-13</v>
      </c>
      <c r="Q148" s="20">
        <f t="shared" si="108"/>
        <v>8.3287223069965432E-13</v>
      </c>
      <c r="R148" s="59">
        <f t="shared" si="109"/>
        <v>293.33333333333417</v>
      </c>
      <c r="S148" s="59">
        <f ca="1">AVERAGE(OFFSET($R$3,0,0,'Données projet'!$E$9+1,1))-AVERAGE(OFFSET($H$3,0,0,'Données projet'!$E$9+1,1))</f>
        <v>138.8931001150624</v>
      </c>
      <c r="T148" s="59">
        <f t="shared" si="142"/>
        <v>48.964659354096625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-7.4487616075202836E-14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191.94797389630673</v>
      </c>
      <c r="AO148" s="59">
        <f t="shared" si="144"/>
        <v>273.52540822767878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0.57927020125187667</v>
      </c>
      <c r="AW148" s="21">
        <f>EXP(-LN(2)/2)*AW147+(1-EXP(-LN(2)/2))/(LN(2)/2)*AQ148*AT148*VLOOKUP('Données projet'!$B$10,Paramètres!$A$1:$I$89,3,0)*0.475*44/12</f>
        <v>1.1384673158918131E-16</v>
      </c>
      <c r="AX148" s="21">
        <f t="shared" si="114"/>
        <v>0.84328077665957435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3.5470293369144201E-14</v>
      </c>
      <c r="BF148" s="13">
        <f t="shared" si="145"/>
        <v>6.0119115841663204E-13</v>
      </c>
      <c r="BG148" s="20">
        <f t="shared" si="115"/>
        <v>1.1088520285268936E-12</v>
      </c>
      <c r="BH148" s="59">
        <f t="shared" si="116"/>
        <v>293.33333333333445</v>
      </c>
      <c r="BI148" s="59">
        <f ca="1">AVERAGE(OFFSET($BH$3,0,0,'Données projet'!$E$11+1,1))-AVERAGE(OFFSET($H$3,0,0,'Données projet'!$E$11+1,1))</f>
        <v>162.91481796710048</v>
      </c>
      <c r="BJ148" s="59">
        <f t="shared" si="146"/>
        <v>182.56192390367823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0.28520272212084358</v>
      </c>
      <c r="BQ148" s="21">
        <f>EXP(-LN(2)/25)*BQ147+(1-EXP(-LN(2)/25))/(LN(2)/25)*Calculateur!BL148*Calculateur!BN148*VLOOKUP('Données projet'!$B$11,Paramètres!$A$1:$I$89,3,0)*0.475*44/12</f>
        <v>0.6300072074451265</v>
      </c>
      <c r="BR148" s="21">
        <f>EXP(-LN(2)/2)*BR147+(1-EXP(-LN(2)/2))/(LN(2)/2)*BL148*BO148*VLOOKUP('Données projet'!$B$11,Paramètres!$A$1:$I$89,3,0)*0.475*44/12</f>
        <v>8.8169108259738662E-17</v>
      </c>
      <c r="BS148" s="22">
        <f t="shared" si="117"/>
        <v>0.91520992956597025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-5.3205440053716299E-14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123.60520571614535</v>
      </c>
      <c r="CE148" s="59">
        <f t="shared" si="148"/>
        <v>119.00926870519527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8.893486669705776E-2</v>
      </c>
      <c r="CL148" s="21">
        <f>EXP(-LN(2)/25)*CL147+(1-EXP(-LN(2)/25))/(LN(2)/25)*Calculateur!CG148*Calculateur!CI148*VLOOKUP('Données projet'!$B$12,Paramètres!$A$1:$I$89,3,0)*0.475*44/12</f>
        <v>0.1969678199069114</v>
      </c>
      <c r="CM148" s="21">
        <f>EXP(-LN(2)/2)*CM147+(1-EXP(-LN(2)/2))/(LN(2)/2)*CG148*CJ148*VLOOKUP('Données projet'!$B$12,Paramètres!$A$1:$I$89,3,0)*0.475*44/12</f>
        <v>2.9997158551951823E-17</v>
      </c>
      <c r="CN148" s="22">
        <f t="shared" si="120"/>
        <v>0.28590268660396922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2.9706370696658272E-14</v>
      </c>
      <c r="CV148" s="13">
        <f t="shared" si="149"/>
        <v>5.1399863782592153E-13</v>
      </c>
      <c r="CW148" s="20">
        <f t="shared" si="121"/>
        <v>9.4695288984349312E-13</v>
      </c>
      <c r="CX148" s="59">
        <f t="shared" si="122"/>
        <v>293.33333333333428</v>
      </c>
      <c r="CY148" s="59">
        <f ca="1">AVERAGE(OFFSET($CX$3,0,0,'Données projet'!$E$13+1,1))-AVERAGE(OFFSET($H$3,0,0,'Données projet'!$E$13+1,1))</f>
        <v>177.94336949486529</v>
      </c>
      <c r="CZ148" s="59">
        <f t="shared" si="150"/>
        <v>65.559373432574603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3.3992364478763198E-14</v>
      </c>
      <c r="DQ148" s="13">
        <f t="shared" si="151"/>
        <v>5.790027782444094E-13</v>
      </c>
      <c r="DR148" s="20">
        <f t="shared" si="124"/>
        <v>1.0676332069095257E-12</v>
      </c>
      <c r="DS148" s="59">
        <f t="shared" si="125"/>
        <v>293.33333333333439</v>
      </c>
      <c r="DT148" s="59">
        <f ca="1">AVERAGE(OFFSET($DS$3,0,0,'Données projet'!$E$14+1,1))-AVERAGE(OFFSET($H$3,0,0,'Données projet'!$E$14+1,1))</f>
        <v>165.39579887388538</v>
      </c>
      <c r="DU148" s="59">
        <f t="shared" si="152"/>
        <v>155.89639262545802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0.30056927035579228</v>
      </c>
      <c r="EC148" s="21">
        <f>EXP(-LN(2)/2)*EC147+(1-EXP(-LN(2)/2))/(LN(2)/2)*DW148*DZ148*VLOOKUP('Données projet'!$B$14,Paramètres!$A$1:$I$89,3,0)*0.475*44/12</f>
        <v>6.8102935732427055E-17</v>
      </c>
      <c r="ED148" s="22">
        <f t="shared" si="126"/>
        <v>0.30056927035579234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-1.1368683772161603E-12</v>
      </c>
      <c r="EK148" s="17">
        <f>EJ148*VLOOKUP('Données projet'!$B$15,Paramètres!$A$1:$I$89,3,0)*VLOOKUP('Données projet'!$B$15,Paramètres!$A$1:$I$89,5,0)</f>
        <v>-5.4683368944097316E-13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252.30925789500111</v>
      </c>
      <c r="EP148" s="59">
        <f t="shared" si="154"/>
        <v>213.96033794804805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0.47501956359189662</v>
      </c>
      <c r="EW148" s="21">
        <f>EXP(-LN(2)/25)*EW147+(1-EXP(-LN(2)/25))/(LN(2)/25)*Calculateur!ER148*Calculateur!ET148*VLOOKUP('Données projet'!$B$15,Paramètres!$A$1:$I$89,3,0)*0.475*44/12</f>
        <v>0.38052983340625901</v>
      </c>
      <c r="EX148" s="21">
        <f>EXP(-LN(2)/2)*EX147+(1-EXP(-LN(2)/2))/(LN(2)/2)*ER148*EU148*VLOOKUP('Données projet'!$B$15,Paramètres!$A$1:$I$89,3,0)*0.475*44/12</f>
        <v>7.0543952941076118E-17</v>
      </c>
      <c r="EY148" s="22">
        <f t="shared" si="129"/>
        <v>0.85554939699815569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-1.1368683772161603E-12</v>
      </c>
      <c r="FF148" s="17">
        <f>FE148*VLOOKUP('Données projet'!$B$16,Paramètres!$A$1:$I$89,3,0)*VLOOKUP('Données projet'!$B$16,Paramètres!$A$1:$I$89,5,0)</f>
        <v>-5.4683368944097316E-13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252.30925789500111</v>
      </c>
      <c r="FK148" s="59">
        <f t="shared" si="156"/>
        <v>213.96033794804805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0.47501956359189662</v>
      </c>
      <c r="FR148" s="21">
        <f>EXP(-LN(2)/25)*FR147+(1-EXP(-LN(2)/25))/(LN(2)/25)*Calculateur!FM148*Calculateur!FO148*VLOOKUP('Données projet'!$B$16,Paramètres!$A$1:$I$89,3,0)*0.475*44/12</f>
        <v>0.38052983340625901</v>
      </c>
      <c r="FS148" s="21">
        <f>EXP(-LN(2)/2)*FS147+(1-EXP(-LN(2)/2))/(LN(2)/2)*FM148*FP148*VLOOKUP('Données projet'!$B$16,Paramètres!$A$1:$I$89,3,0)*0.475*44/12</f>
        <v>7.0543952941076118E-17</v>
      </c>
      <c r="FT148" s="22">
        <f t="shared" si="132"/>
        <v>0.85554939699815569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117.54638373164624</v>
      </c>
      <c r="GF148" s="59">
        <f t="shared" si="158"/>
        <v>133.0740262536583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0.22685335347746879</v>
      </c>
      <c r="GM148" s="21">
        <f>EXP(-LN(2)/25)*GM147+(1-EXP(-LN(2)/25))/(LN(2)/25)*Calculateur!GH148*Calculateur!GJ148*VLOOKUP('Données projet'!$B$17,Paramètres!$A$1:$I$89,3,0)*0.475*44/12</f>
        <v>0.35690995080020743</v>
      </c>
      <c r="GN148" s="21">
        <f>EXP(-LN(2)/2)*GN147+(1-EXP(-LN(2)/2))/(LN(2)/2)*GH148*GK148*VLOOKUP('Données projet'!$B$17,Paramètres!$A$1:$I$89,3,0)*0.475*44/12</f>
        <v>1.9849514195183005E-17</v>
      </c>
      <c r="GO148" s="21">
        <f t="shared" si="135"/>
        <v>0.5837633042776762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2.8421709430404007E-14</v>
      </c>
      <c r="GV148" s="17">
        <f>GU148*VLOOKUP('Données projet'!$B$18,Paramètres!$A$1:$I$89,3,0)*VLOOKUP('Données projet'!$B$18,Paramètres!$A$1:$I$89,5,0)</f>
        <v>1.3567387213697657E-14</v>
      </c>
      <c r="GW148" s="13">
        <f t="shared" si="159"/>
        <v>2.5717320947985821E-13</v>
      </c>
      <c r="GX148" s="20">
        <f t="shared" si="136"/>
        <v>4.7153987257460977E-13</v>
      </c>
      <c r="GY148" s="59">
        <f t="shared" si="137"/>
        <v>293.33333333333377</v>
      </c>
      <c r="GZ148" s="59">
        <f ca="1">AVERAGE(OFFSET($GY$3,0,0,'Données projet'!$E$18+1,1))-AVERAGE(OFFSET($H$3,0,0,'Données projet'!$E$18+1,1))</f>
        <v>43.147469606759159</v>
      </c>
      <c r="HA148" s="59">
        <f t="shared" si="160"/>
        <v>147.46995307968473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3.6978719066977868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2.7043834662123667E-18</v>
      </c>
      <c r="HJ148" s="22">
        <f t="shared" si="138"/>
        <v>3.6978719066977868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2.8421709430404007E-14</v>
      </c>
      <c r="O149" s="13">
        <f>N149*VLOOKUP('Données projet'!$B$9,Paramètres!$A$1:$I$89,3,0)*VLOOKUP('Données projet'!$B$9,Paramètres!$A$1:$I$89,5,0)</f>
        <v>2.5715962692629544E-14</v>
      </c>
      <c r="P149" s="13">
        <f t="shared" si="141"/>
        <v>4.5248818890525812E-13</v>
      </c>
      <c r="Q149" s="20">
        <f t="shared" si="108"/>
        <v>8.3287223069965432E-13</v>
      </c>
      <c r="R149" s="59">
        <f t="shared" si="109"/>
        <v>293.33333333333417</v>
      </c>
      <c r="S149" s="59">
        <f ca="1">AVERAGE(OFFSET($R$3,0,0,'Données projet'!$E$9+1,1))-AVERAGE(OFFSET($H$3,0,0,'Données projet'!$E$9+1,1))</f>
        <v>138.8931001150624</v>
      </c>
      <c r="T149" s="59">
        <f t="shared" si="142"/>
        <v>48.964659354096625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-7.4487616075202836E-14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191.94797389630673</v>
      </c>
      <c r="AO149" s="59">
        <f t="shared" si="144"/>
        <v>273.52540822767878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0.5634300271361482</v>
      </c>
      <c r="AW149" s="21">
        <f>EXP(-LN(2)/2)*AW148+(1-EXP(-LN(2)/2))/(LN(2)/2)*AQ149*AT149*VLOOKUP('Données projet'!$B$10,Paramètres!$A$1:$I$89,3,0)*0.475*44/12</f>
        <v>8.0501795922634839E-17</v>
      </c>
      <c r="AX149" s="21">
        <f t="shared" si="114"/>
        <v>0.82226351619065152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3.5470293369144201E-14</v>
      </c>
      <c r="BF149" s="13">
        <f t="shared" si="145"/>
        <v>6.0119115841663204E-13</v>
      </c>
      <c r="BG149" s="20">
        <f t="shared" si="115"/>
        <v>1.1088520285268936E-12</v>
      </c>
      <c r="BH149" s="59">
        <f t="shared" si="116"/>
        <v>293.33333333333445</v>
      </c>
      <c r="BI149" s="59">
        <f ca="1">AVERAGE(OFFSET($BH$3,0,0,'Données projet'!$E$11+1,1))-AVERAGE(OFFSET($H$3,0,0,'Données projet'!$E$11+1,1))</f>
        <v>162.91481796710048</v>
      </c>
      <c r="BJ149" s="59">
        <f t="shared" si="146"/>
        <v>182.56192390367823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0.27961007069653754</v>
      </c>
      <c r="BQ149" s="21">
        <f>EXP(-LN(2)/25)*BQ148+(1-EXP(-LN(2)/25))/(LN(2)/25)*Calculateur!BL149*Calculateur!BN149*VLOOKUP('Données projet'!$B$11,Paramètres!$A$1:$I$89,3,0)*0.475*44/12</f>
        <v>0.61277962722690038</v>
      </c>
      <c r="BR149" s="21">
        <f>EXP(-LN(2)/2)*BR148+(1-EXP(-LN(2)/2))/(LN(2)/2)*BL149*BO149*VLOOKUP('Données projet'!$B$11,Paramètres!$A$1:$I$89,3,0)*0.475*44/12</f>
        <v>6.2344974341632044E-17</v>
      </c>
      <c r="BS149" s="22">
        <f t="shared" si="117"/>
        <v>0.89238969792343803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-5.3205440053716299E-14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123.60520571614535</v>
      </c>
      <c r="CE149" s="59">
        <f t="shared" si="148"/>
        <v>119.00926870519527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8.7190908206040904E-2</v>
      </c>
      <c r="CL149" s="21">
        <f>EXP(-LN(2)/25)*CL148+(1-EXP(-LN(2)/25))/(LN(2)/25)*Calculateur!CG149*Calculateur!CI149*VLOOKUP('Données projet'!$B$12,Paramètres!$A$1:$I$89,3,0)*0.475*44/12</f>
        <v>0.19158172451346944</v>
      </c>
      <c r="CM149" s="21">
        <f>EXP(-LN(2)/2)*CM148+(1-EXP(-LN(2)/2))/(LN(2)/2)*CG149*CJ149*VLOOKUP('Données projet'!$B$12,Paramètres!$A$1:$I$89,3,0)*0.475*44/12</f>
        <v>2.1211194228413171E-17</v>
      </c>
      <c r="CN149" s="22">
        <f t="shared" si="120"/>
        <v>0.27877263271951036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2.9706370696658272E-14</v>
      </c>
      <c r="CV149" s="13">
        <f t="shared" si="149"/>
        <v>5.1399863782592153E-13</v>
      </c>
      <c r="CW149" s="20">
        <f t="shared" si="121"/>
        <v>9.4695288984349312E-13</v>
      </c>
      <c r="CX149" s="59">
        <f t="shared" si="122"/>
        <v>293.33333333333428</v>
      </c>
      <c r="CY149" s="59">
        <f ca="1">AVERAGE(OFFSET($CX$3,0,0,'Données projet'!$E$13+1,1))-AVERAGE(OFFSET($H$3,0,0,'Données projet'!$E$13+1,1))</f>
        <v>177.94336949486529</v>
      </c>
      <c r="CZ149" s="59">
        <f t="shared" si="150"/>
        <v>65.559373432574603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3.3992364478763198E-14</v>
      </c>
      <c r="DQ149" s="13">
        <f t="shared" si="151"/>
        <v>5.790027782444094E-13</v>
      </c>
      <c r="DR149" s="20">
        <f t="shared" si="124"/>
        <v>1.0676332069095257E-12</v>
      </c>
      <c r="DS149" s="59">
        <f t="shared" si="125"/>
        <v>293.33333333333439</v>
      </c>
      <c r="DT149" s="59">
        <f ca="1">AVERAGE(OFFSET($DS$3,0,0,'Données projet'!$E$14+1,1))-AVERAGE(OFFSET($H$3,0,0,'Données projet'!$E$14+1,1))</f>
        <v>165.39579887388538</v>
      </c>
      <c r="DU149" s="59">
        <f t="shared" si="152"/>
        <v>155.89639262545802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0.29235018785166217</v>
      </c>
      <c r="EC149" s="21">
        <f>EXP(-LN(2)/2)*EC148+(1-EXP(-LN(2)/2))/(LN(2)/2)*DW149*DZ149*VLOOKUP('Données projet'!$B$14,Paramètres!$A$1:$I$89,3,0)*0.475*44/12</f>
        <v>4.8156047675110807E-17</v>
      </c>
      <c r="ED149" s="22">
        <f t="shared" si="126"/>
        <v>0.29235018785166222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-1.1368683772161603E-12</v>
      </c>
      <c r="EK149" s="17">
        <f>EJ149*VLOOKUP('Données projet'!$B$15,Paramètres!$A$1:$I$89,3,0)*VLOOKUP('Données projet'!$B$15,Paramètres!$A$1:$I$89,5,0)</f>
        <v>-5.4683368944097316E-13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252.30925789500111</v>
      </c>
      <c r="EP149" s="59">
        <f t="shared" si="154"/>
        <v>213.96033794804805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0.46570471968318455</v>
      </c>
      <c r="EW149" s="21">
        <f>EXP(-LN(2)/25)*EW148+(1-EXP(-LN(2)/25))/(LN(2)/25)*Calculateur!ER149*Calculateur!ET149*VLOOKUP('Données projet'!$B$15,Paramètres!$A$1:$I$89,3,0)*0.475*44/12</f>
        <v>0.37012422510057064</v>
      </c>
      <c r="EX149" s="21">
        <f>EXP(-LN(2)/2)*EX148+(1-EXP(-LN(2)/2))/(LN(2)/2)*ER149*EU149*VLOOKUP('Données projet'!$B$15,Paramètres!$A$1:$I$89,3,0)*0.475*44/12</f>
        <v>4.9882107496339617E-17</v>
      </c>
      <c r="EY149" s="22">
        <f t="shared" si="129"/>
        <v>0.83582894478375525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-1.1368683772161603E-12</v>
      </c>
      <c r="FF149" s="17">
        <f>FE149*VLOOKUP('Données projet'!$B$16,Paramètres!$A$1:$I$89,3,0)*VLOOKUP('Données projet'!$B$16,Paramètres!$A$1:$I$89,5,0)</f>
        <v>-5.4683368944097316E-13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252.30925789500111</v>
      </c>
      <c r="FK149" s="59">
        <f t="shared" si="156"/>
        <v>213.96033794804805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0.46570471968318455</v>
      </c>
      <c r="FR149" s="21">
        <f>EXP(-LN(2)/25)*FR148+(1-EXP(-LN(2)/25))/(LN(2)/25)*Calculateur!FM149*Calculateur!FO149*VLOOKUP('Données projet'!$B$16,Paramètres!$A$1:$I$89,3,0)*0.475*44/12</f>
        <v>0.37012422510057064</v>
      </c>
      <c r="FS149" s="21">
        <f>EXP(-LN(2)/2)*FS148+(1-EXP(-LN(2)/2))/(LN(2)/2)*FM149*FP149*VLOOKUP('Données projet'!$B$16,Paramètres!$A$1:$I$89,3,0)*0.475*44/12</f>
        <v>4.9882107496339617E-17</v>
      </c>
      <c r="FT149" s="22">
        <f t="shared" si="132"/>
        <v>0.83582894478375525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117.54638373164624</v>
      </c>
      <c r="GF149" s="59">
        <f t="shared" si="158"/>
        <v>133.0740262536583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0.22240489758265866</v>
      </c>
      <c r="GM149" s="21">
        <f>EXP(-LN(2)/25)*GM148+(1-EXP(-LN(2)/25))/(LN(2)/25)*Calculateur!GH149*Calculateur!GJ149*VLOOKUP('Données projet'!$B$17,Paramètres!$A$1:$I$89,3,0)*0.475*44/12</f>
        <v>0.3471502294264972</v>
      </c>
      <c r="GN149" s="21">
        <f>EXP(-LN(2)/2)*GN148+(1-EXP(-LN(2)/2))/(LN(2)/2)*GH149*GK149*VLOOKUP('Données projet'!$B$17,Paramètres!$A$1:$I$89,3,0)*0.475*44/12</f>
        <v>1.4035726090672538E-17</v>
      </c>
      <c r="GO149" s="21">
        <f t="shared" si="135"/>
        <v>0.56955512700915589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2.8421709430404007E-14</v>
      </c>
      <c r="GV149" s="17">
        <f>GU149*VLOOKUP('Données projet'!$B$18,Paramètres!$A$1:$I$89,3,0)*VLOOKUP('Données projet'!$B$18,Paramètres!$A$1:$I$89,5,0)</f>
        <v>1.3567387213697657E-14</v>
      </c>
      <c r="GW149" s="13">
        <f t="shared" si="159"/>
        <v>2.5717320947985821E-13</v>
      </c>
      <c r="GX149" s="20">
        <f t="shared" si="136"/>
        <v>4.7153987257460977E-13</v>
      </c>
      <c r="GY149" s="59">
        <f t="shared" si="137"/>
        <v>293.33333333333377</v>
      </c>
      <c r="GZ149" s="59">
        <f ca="1">AVERAGE(OFFSET($GY$3,0,0,'Données projet'!$E$18+1,1))-AVERAGE(OFFSET($H$3,0,0,'Données projet'!$E$18+1,1))</f>
        <v>43.147469606759159</v>
      </c>
      <c r="HA149" s="59">
        <f t="shared" si="160"/>
        <v>147.46995307968473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3.6253588940865962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1.9122878878875449E-18</v>
      </c>
      <c r="HJ149" s="22">
        <f t="shared" si="138"/>
        <v>3.6253588940865962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2.8421709430404007E-14</v>
      </c>
      <c r="O150" s="13">
        <f>N150*VLOOKUP('Données projet'!$B$9,Paramètres!$A$1:$I$89,3,0)*VLOOKUP('Données projet'!$B$9,Paramètres!$A$1:$I$89,5,0)</f>
        <v>2.5715962692629544E-14</v>
      </c>
      <c r="P150" s="13">
        <f t="shared" si="141"/>
        <v>4.5248818890525812E-13</v>
      </c>
      <c r="Q150" s="20">
        <f t="shared" si="108"/>
        <v>8.3287223069965432E-13</v>
      </c>
      <c r="R150" s="59">
        <f t="shared" si="109"/>
        <v>293.33333333333417</v>
      </c>
      <c r="S150" s="59">
        <f ca="1">AVERAGE(OFFSET($R$3,0,0,'Données projet'!$E$9+1,1))-AVERAGE(OFFSET($H$3,0,0,'Données projet'!$E$9+1,1))</f>
        <v>138.8931001150624</v>
      </c>
      <c r="T150" s="59">
        <f t="shared" si="142"/>
        <v>48.964659354096625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-7.4487616075202836E-14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191.94797389630673</v>
      </c>
      <c r="AO150" s="59">
        <f t="shared" si="144"/>
        <v>273.52540822767878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0.54802300341461285</v>
      </c>
      <c r="AW150" s="21">
        <f>EXP(-LN(2)/2)*AW149+(1-EXP(-LN(2)/2))/(LN(2)/2)*AQ150*AT150*VLOOKUP('Données projet'!$B$10,Paramètres!$A$1:$I$89,3,0)*0.475*44/12</f>
        <v>5.6923365794590655E-17</v>
      </c>
      <c r="AX150" s="21">
        <f t="shared" si="114"/>
        <v>0.80178092562159697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3.5470293369144201E-14</v>
      </c>
      <c r="BF150" s="13">
        <f t="shared" si="145"/>
        <v>6.0119115841663204E-13</v>
      </c>
      <c r="BG150" s="20">
        <f t="shared" si="115"/>
        <v>1.1088520285268936E-12</v>
      </c>
      <c r="BH150" s="59">
        <f t="shared" si="116"/>
        <v>293.33333333333445</v>
      </c>
      <c r="BI150" s="59">
        <f ca="1">AVERAGE(OFFSET($BH$3,0,0,'Données projet'!$E$11+1,1))-AVERAGE(OFFSET($H$3,0,0,'Données projet'!$E$11+1,1))</f>
        <v>162.91481796710048</v>
      </c>
      <c r="BJ150" s="59">
        <f t="shared" si="146"/>
        <v>182.56192390367823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0.27412708775548161</v>
      </c>
      <c r="BQ150" s="21">
        <f>EXP(-LN(2)/25)*BQ149+(1-EXP(-LN(2)/25))/(LN(2)/25)*Calculateur!BL150*Calculateur!BN150*VLOOKUP('Données projet'!$B$11,Paramètres!$A$1:$I$89,3,0)*0.475*44/12</f>
        <v>0.59602313609570068</v>
      </c>
      <c r="BR150" s="21">
        <f>EXP(-LN(2)/2)*BR149+(1-EXP(-LN(2)/2))/(LN(2)/2)*BL150*BO150*VLOOKUP('Données projet'!$B$11,Paramètres!$A$1:$I$89,3,0)*0.475*44/12</f>
        <v>4.4084554129869331E-17</v>
      </c>
      <c r="BS150" s="22">
        <f t="shared" si="117"/>
        <v>0.87015022385118224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-5.3205440053716299E-14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123.60520571614535</v>
      </c>
      <c r="CE150" s="59">
        <f t="shared" si="148"/>
        <v>119.00926870519527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8.5481147677323246E-2</v>
      </c>
      <c r="CL150" s="21">
        <f>EXP(-LN(2)/25)*CL149+(1-EXP(-LN(2)/25))/(LN(2)/25)*Calculateur!CG150*Calculateur!CI150*VLOOKUP('Données projet'!$B$12,Paramètres!$A$1:$I$89,3,0)*0.475*44/12</f>
        <v>0.1863429121818036</v>
      </c>
      <c r="CM150" s="21">
        <f>EXP(-LN(2)/2)*CM149+(1-EXP(-LN(2)/2))/(LN(2)/2)*CG150*CJ150*VLOOKUP('Données projet'!$B$12,Paramètres!$A$1:$I$89,3,0)*0.475*44/12</f>
        <v>1.4998579275975912E-17</v>
      </c>
      <c r="CN150" s="22">
        <f t="shared" si="120"/>
        <v>0.27182405985912683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2.9706370696658272E-14</v>
      </c>
      <c r="CV150" s="13">
        <f t="shared" si="149"/>
        <v>5.1399863782592153E-13</v>
      </c>
      <c r="CW150" s="20">
        <f t="shared" si="121"/>
        <v>9.4695288984349312E-13</v>
      </c>
      <c r="CX150" s="59">
        <f t="shared" si="122"/>
        <v>293.33333333333428</v>
      </c>
      <c r="CY150" s="59">
        <f ca="1">AVERAGE(OFFSET($CX$3,0,0,'Données projet'!$E$13+1,1))-AVERAGE(OFFSET($H$3,0,0,'Données projet'!$E$13+1,1))</f>
        <v>177.94336949486529</v>
      </c>
      <c r="CZ150" s="59">
        <f t="shared" si="150"/>
        <v>65.559373432574603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3.3992364478763198E-14</v>
      </c>
      <c r="DQ150" s="13">
        <f t="shared" si="151"/>
        <v>5.790027782444094E-13</v>
      </c>
      <c r="DR150" s="20">
        <f t="shared" si="124"/>
        <v>1.0676332069095257E-12</v>
      </c>
      <c r="DS150" s="59">
        <f t="shared" si="125"/>
        <v>293.33333333333439</v>
      </c>
      <c r="DT150" s="59">
        <f ca="1">AVERAGE(OFFSET($DS$3,0,0,'Données projet'!$E$14+1,1))-AVERAGE(OFFSET($H$3,0,0,'Données projet'!$E$14+1,1))</f>
        <v>165.39579887388538</v>
      </c>
      <c r="DU150" s="59">
        <f t="shared" si="152"/>
        <v>155.89639262545802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0.28435585659083024</v>
      </c>
      <c r="EC150" s="21">
        <f>EXP(-LN(2)/2)*EC149+(1-EXP(-LN(2)/2))/(LN(2)/2)*DW150*DZ150*VLOOKUP('Données projet'!$B$14,Paramètres!$A$1:$I$89,3,0)*0.475*44/12</f>
        <v>3.4051467866213527E-17</v>
      </c>
      <c r="ED150" s="22">
        <f t="shared" si="126"/>
        <v>0.28435585659083029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-1.1368683772161603E-12</v>
      </c>
      <c r="EK150" s="17">
        <f>EJ150*VLOOKUP('Données projet'!$B$15,Paramètres!$A$1:$I$89,3,0)*VLOOKUP('Données projet'!$B$15,Paramètres!$A$1:$I$89,5,0)</f>
        <v>-5.4683368944097316E-13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252.30925789500111</v>
      </c>
      <c r="EP150" s="59">
        <f t="shared" si="154"/>
        <v>213.96033794804805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0.45657253418202853</v>
      </c>
      <c r="EW150" s="21">
        <f>EXP(-LN(2)/25)*EW149+(1-EXP(-LN(2)/25))/(LN(2)/25)*Calculateur!ER150*Calculateur!ET150*VLOOKUP('Données projet'!$B$15,Paramètres!$A$1:$I$89,3,0)*0.475*44/12</f>
        <v>0.36000315870120847</v>
      </c>
      <c r="EX150" s="21">
        <f>EXP(-LN(2)/2)*EX149+(1-EXP(-LN(2)/2))/(LN(2)/2)*ER150*EU150*VLOOKUP('Données projet'!$B$15,Paramètres!$A$1:$I$89,3,0)*0.475*44/12</f>
        <v>3.5271976470538059E-17</v>
      </c>
      <c r="EY150" s="22">
        <f t="shared" si="129"/>
        <v>0.81657569288323706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-1.1368683772161603E-12</v>
      </c>
      <c r="FF150" s="17">
        <f>FE150*VLOOKUP('Données projet'!$B$16,Paramètres!$A$1:$I$89,3,0)*VLOOKUP('Données projet'!$B$16,Paramètres!$A$1:$I$89,5,0)</f>
        <v>-5.4683368944097316E-13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252.30925789500111</v>
      </c>
      <c r="FK150" s="59">
        <f t="shared" si="156"/>
        <v>213.96033794804805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0.45657253418202853</v>
      </c>
      <c r="FR150" s="21">
        <f>EXP(-LN(2)/25)*FR149+(1-EXP(-LN(2)/25))/(LN(2)/25)*Calculateur!FM150*Calculateur!FO150*VLOOKUP('Données projet'!$B$16,Paramètres!$A$1:$I$89,3,0)*0.475*44/12</f>
        <v>0.36000315870120847</v>
      </c>
      <c r="FS150" s="21">
        <f>EXP(-LN(2)/2)*FS149+(1-EXP(-LN(2)/2))/(LN(2)/2)*FM150*FP150*VLOOKUP('Données projet'!$B$16,Paramètres!$A$1:$I$89,3,0)*0.475*44/12</f>
        <v>3.5271976470538059E-17</v>
      </c>
      <c r="FT150" s="22">
        <f t="shared" si="132"/>
        <v>0.81657569288323706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117.54638373164624</v>
      </c>
      <c r="GF150" s="59">
        <f t="shared" si="158"/>
        <v>133.0740262536583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0.21804367319465556</v>
      </c>
      <c r="GM150" s="21">
        <f>EXP(-LN(2)/25)*GM149+(1-EXP(-LN(2)/25))/(LN(2)/25)*Calculateur!GH150*Calculateur!GJ150*VLOOKUP('Données projet'!$B$17,Paramètres!$A$1:$I$89,3,0)*0.475*44/12</f>
        <v>0.33765738814699248</v>
      </c>
      <c r="GN150" s="21">
        <f>EXP(-LN(2)/2)*GN149+(1-EXP(-LN(2)/2))/(LN(2)/2)*GH150*GK150*VLOOKUP('Données projet'!$B$17,Paramètres!$A$1:$I$89,3,0)*0.475*44/12</f>
        <v>9.9247570975915025E-18</v>
      </c>
      <c r="GO150" s="21">
        <f t="shared" si="135"/>
        <v>0.55570106134164798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2.8421709430404007E-14</v>
      </c>
      <c r="GV150" s="17">
        <f>GU150*VLOOKUP('Données projet'!$B$18,Paramètres!$A$1:$I$89,3,0)*VLOOKUP('Données projet'!$B$18,Paramètres!$A$1:$I$89,5,0)</f>
        <v>1.3567387213697657E-14</v>
      </c>
      <c r="GW150" s="13">
        <f t="shared" si="159"/>
        <v>2.5717320947985821E-13</v>
      </c>
      <c r="GX150" s="20">
        <f t="shared" si="136"/>
        <v>4.7153987257460977E-13</v>
      </c>
      <c r="GY150" s="59">
        <f t="shared" si="137"/>
        <v>293.33333333333377</v>
      </c>
      <c r="GZ150" s="59">
        <f ca="1">AVERAGE(OFFSET($GY$3,0,0,'Données projet'!$E$18+1,1))-AVERAGE(OFFSET($H$3,0,0,'Données projet'!$E$18+1,1))</f>
        <v>43.147469606759159</v>
      </c>
      <c r="HA150" s="59">
        <f t="shared" si="160"/>
        <v>147.46995307968473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3.5542678174241407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1.3521917331061834E-18</v>
      </c>
      <c r="HJ150" s="22">
        <f t="shared" si="138"/>
        <v>3.5542678174241407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2.8421709430404007E-14</v>
      </c>
      <c r="O151" s="13">
        <f>N151*VLOOKUP('Données projet'!$B$9,Paramètres!$A$1:$I$89,3,0)*VLOOKUP('Données projet'!$B$9,Paramètres!$A$1:$I$89,5,0)</f>
        <v>2.5715962692629544E-14</v>
      </c>
      <c r="P151" s="13">
        <f t="shared" si="141"/>
        <v>4.5248818890525812E-13</v>
      </c>
      <c r="Q151" s="20">
        <f t="shared" si="108"/>
        <v>8.3287223069965432E-13</v>
      </c>
      <c r="R151" s="59">
        <f t="shared" si="109"/>
        <v>293.33333333333417</v>
      </c>
      <c r="S151" s="59">
        <f ca="1">AVERAGE(OFFSET($R$3,0,0,'Données projet'!$E$9+1,1))-AVERAGE(OFFSET($H$3,0,0,'Données projet'!$E$9+1,1))</f>
        <v>138.8931001150624</v>
      </c>
      <c r="T151" s="59">
        <f t="shared" si="142"/>
        <v>48.964659354096625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-7.4487616075202836E-14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191.94797389630673</v>
      </c>
      <c r="AO151" s="59">
        <f t="shared" si="144"/>
        <v>273.52540822767878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0.53303728556696306</v>
      </c>
      <c r="AW151" s="21">
        <f>EXP(-LN(2)/2)*AW150+(1-EXP(-LN(2)/2))/(LN(2)/2)*AQ151*AT151*VLOOKUP('Données projet'!$B$10,Paramètres!$A$1:$I$89,3,0)*0.475*44/12</f>
        <v>4.025089796131742E-17</v>
      </c>
      <c r="AX151" s="21">
        <f t="shared" si="114"/>
        <v>0.78181916969651777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3.5470293369144201E-14</v>
      </c>
      <c r="BF151" s="13">
        <f t="shared" si="145"/>
        <v>6.0119115841663204E-13</v>
      </c>
      <c r="BG151" s="20">
        <f t="shared" si="115"/>
        <v>1.1088520285268936E-12</v>
      </c>
      <c r="BH151" s="59">
        <f t="shared" si="116"/>
        <v>293.33333333333445</v>
      </c>
      <c r="BI151" s="59">
        <f ca="1">AVERAGE(OFFSET($BH$3,0,0,'Données projet'!$E$11+1,1))-AVERAGE(OFFSET($H$3,0,0,'Données projet'!$E$11+1,1))</f>
        <v>162.91481796710048</v>
      </c>
      <c r="BJ151" s="59">
        <f t="shared" si="146"/>
        <v>182.56192390367823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0.26875162276561043</v>
      </c>
      <c r="BQ151" s="21">
        <f>EXP(-LN(2)/25)*BQ150+(1-EXP(-LN(2)/25))/(LN(2)/25)*Calculateur!BL151*Calculateur!BN151*VLOOKUP('Données projet'!$B$11,Paramètres!$A$1:$I$89,3,0)*0.475*44/12</f>
        <v>0.57972485209566926</v>
      </c>
      <c r="BR151" s="21">
        <f>EXP(-LN(2)/2)*BR150+(1-EXP(-LN(2)/2))/(LN(2)/2)*BL151*BO151*VLOOKUP('Données projet'!$B$11,Paramètres!$A$1:$I$89,3,0)*0.475*44/12</f>
        <v>3.1172487170816022E-17</v>
      </c>
      <c r="BS151" s="22">
        <f t="shared" si="117"/>
        <v>0.84847647486127964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-5.3205440053716299E-14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123.60520571614535</v>
      </c>
      <c r="CE151" s="59">
        <f t="shared" si="148"/>
        <v>119.00926870519527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8.3804914509722786E-2</v>
      </c>
      <c r="CL151" s="21">
        <f>EXP(-LN(2)/25)*CL150+(1-EXP(-LN(2)/25))/(LN(2)/25)*Calculateur!CG151*Calculateur!CI151*VLOOKUP('Données projet'!$B$12,Paramètres!$A$1:$I$89,3,0)*0.475*44/12</f>
        <v>0.18124735544884432</v>
      </c>
      <c r="CM151" s="21">
        <f>EXP(-LN(2)/2)*CM150+(1-EXP(-LN(2)/2))/(LN(2)/2)*CG151*CJ151*VLOOKUP('Données projet'!$B$12,Paramètres!$A$1:$I$89,3,0)*0.475*44/12</f>
        <v>1.0605597114206586E-17</v>
      </c>
      <c r="CN151" s="22">
        <f t="shared" si="120"/>
        <v>0.26505226995856712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2.9706370696658272E-14</v>
      </c>
      <c r="CV151" s="13">
        <f t="shared" si="149"/>
        <v>5.1399863782592153E-13</v>
      </c>
      <c r="CW151" s="20">
        <f t="shared" si="121"/>
        <v>9.4695288984349312E-13</v>
      </c>
      <c r="CX151" s="59">
        <f t="shared" si="122"/>
        <v>293.33333333333428</v>
      </c>
      <c r="CY151" s="59">
        <f ca="1">AVERAGE(OFFSET($CX$3,0,0,'Données projet'!$E$13+1,1))-AVERAGE(OFFSET($H$3,0,0,'Données projet'!$E$13+1,1))</f>
        <v>177.94336949486529</v>
      </c>
      <c r="CZ151" s="59">
        <f t="shared" si="150"/>
        <v>65.559373432574603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3.3992364478763198E-14</v>
      </c>
      <c r="DQ151" s="13">
        <f t="shared" si="151"/>
        <v>5.790027782444094E-13</v>
      </c>
      <c r="DR151" s="20">
        <f t="shared" si="124"/>
        <v>1.0676332069095257E-12</v>
      </c>
      <c r="DS151" s="59">
        <f t="shared" si="125"/>
        <v>293.33333333333439</v>
      </c>
      <c r="DT151" s="59">
        <f ca="1">AVERAGE(OFFSET($DS$3,0,0,'Données projet'!$E$14+1,1))-AVERAGE(OFFSET($H$3,0,0,'Données projet'!$E$14+1,1))</f>
        <v>165.39579887388538</v>
      </c>
      <c r="DU151" s="59">
        <f t="shared" si="152"/>
        <v>155.89639262545802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0.27658013073872939</v>
      </c>
      <c r="EC151" s="21">
        <f>EXP(-LN(2)/2)*EC150+(1-EXP(-LN(2)/2))/(LN(2)/2)*DW151*DZ151*VLOOKUP('Données projet'!$B$14,Paramètres!$A$1:$I$89,3,0)*0.475*44/12</f>
        <v>2.4078023837555403E-17</v>
      </c>
      <c r="ED151" s="22">
        <f t="shared" si="126"/>
        <v>0.27658013073872939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-1.1368683772161603E-12</v>
      </c>
      <c r="EK151" s="17">
        <f>EJ151*VLOOKUP('Données projet'!$B$15,Paramètres!$A$1:$I$89,3,0)*VLOOKUP('Données projet'!$B$15,Paramètres!$A$1:$I$89,5,0)</f>
        <v>-5.4683368944097316E-13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252.30925789500111</v>
      </c>
      <c r="EP151" s="59">
        <f t="shared" si="154"/>
        <v>213.96033794804805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0.44761942526846704</v>
      </c>
      <c r="EW151" s="21">
        <f>EXP(-LN(2)/25)*EW150+(1-EXP(-LN(2)/25))/(LN(2)/25)*Calculateur!ER151*Calculateur!ET151*VLOOKUP('Données projet'!$B$15,Paramètres!$A$1:$I$89,3,0)*0.475*44/12</f>
        <v>0.35015885339478059</v>
      </c>
      <c r="EX151" s="21">
        <f>EXP(-LN(2)/2)*EX150+(1-EXP(-LN(2)/2))/(LN(2)/2)*ER151*EU151*VLOOKUP('Données projet'!$B$15,Paramètres!$A$1:$I$89,3,0)*0.475*44/12</f>
        <v>2.4941053748169808E-17</v>
      </c>
      <c r="EY151" s="22">
        <f t="shared" si="129"/>
        <v>0.79777827866324769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-1.1368683772161603E-12</v>
      </c>
      <c r="FF151" s="17">
        <f>FE151*VLOOKUP('Données projet'!$B$16,Paramètres!$A$1:$I$89,3,0)*VLOOKUP('Données projet'!$B$16,Paramètres!$A$1:$I$89,5,0)</f>
        <v>-5.4683368944097316E-13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252.30925789500111</v>
      </c>
      <c r="FK151" s="59">
        <f t="shared" si="156"/>
        <v>213.96033794804805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0.44761942526846704</v>
      </c>
      <c r="FR151" s="21">
        <f>EXP(-LN(2)/25)*FR150+(1-EXP(-LN(2)/25))/(LN(2)/25)*Calculateur!FM151*Calculateur!FO151*VLOOKUP('Données projet'!$B$16,Paramètres!$A$1:$I$89,3,0)*0.475*44/12</f>
        <v>0.35015885339478059</v>
      </c>
      <c r="FS151" s="21">
        <f>EXP(-LN(2)/2)*FS150+(1-EXP(-LN(2)/2))/(LN(2)/2)*FM151*FP151*VLOOKUP('Données projet'!$B$16,Paramètres!$A$1:$I$89,3,0)*0.475*44/12</f>
        <v>2.4941053748169808E-17</v>
      </c>
      <c r="FT151" s="22">
        <f t="shared" si="132"/>
        <v>0.79777827866324769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117.54638373164624</v>
      </c>
      <c r="GF151" s="59">
        <f t="shared" si="158"/>
        <v>133.0740262536583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0.213767969756817</v>
      </c>
      <c r="GM151" s="21">
        <f>EXP(-LN(2)/25)*GM150+(1-EXP(-LN(2)/25))/(LN(2)/25)*Calculateur!GH151*Calculateur!GJ151*VLOOKUP('Données projet'!$B$17,Paramètres!$A$1:$I$89,3,0)*0.475*44/12</f>
        <v>0.32842412911148267</v>
      </c>
      <c r="GN151" s="21">
        <f>EXP(-LN(2)/2)*GN150+(1-EXP(-LN(2)/2))/(LN(2)/2)*GH151*GK151*VLOOKUP('Données projet'!$B$17,Paramètres!$A$1:$I$89,3,0)*0.475*44/12</f>
        <v>7.017863045336269E-18</v>
      </c>
      <c r="GO151" s="21">
        <f t="shared" si="135"/>
        <v>0.54219209886829967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2.8421709430404007E-14</v>
      </c>
      <c r="GV151" s="17">
        <f>GU151*VLOOKUP('Données projet'!$B$18,Paramètres!$A$1:$I$89,3,0)*VLOOKUP('Données projet'!$B$18,Paramètres!$A$1:$I$89,5,0)</f>
        <v>1.3567387213697657E-14</v>
      </c>
      <c r="GW151" s="13">
        <f t="shared" si="159"/>
        <v>2.5717320947985821E-13</v>
      </c>
      <c r="GX151" s="20">
        <f t="shared" si="136"/>
        <v>4.7153987257460977E-13</v>
      </c>
      <c r="GY151" s="59">
        <f t="shared" si="137"/>
        <v>293.33333333333377</v>
      </c>
      <c r="GZ151" s="59">
        <f ca="1">AVERAGE(OFFSET($GY$3,0,0,'Données projet'!$E$18+1,1))-AVERAGE(OFFSET($H$3,0,0,'Données projet'!$E$18+1,1))</f>
        <v>43.147469606759159</v>
      </c>
      <c r="HA151" s="59">
        <f t="shared" si="160"/>
        <v>147.46995307968473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3.4845707934137606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9.5614394394377245E-19</v>
      </c>
      <c r="HJ151" s="22">
        <f t="shared" si="138"/>
        <v>3.4845707934137606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2.8421709430404007E-14</v>
      </c>
      <c r="O152" s="13">
        <f>N152*VLOOKUP('Données projet'!$B$9,Paramètres!$A$1:$I$89,3,0)*VLOOKUP('Données projet'!$B$9,Paramètres!$A$1:$I$89,5,0)</f>
        <v>2.5715962692629544E-14</v>
      </c>
      <c r="P152" s="13">
        <f t="shared" si="141"/>
        <v>4.5248818890525812E-13</v>
      </c>
      <c r="Q152" s="20">
        <f t="shared" si="108"/>
        <v>8.3287223069965432E-13</v>
      </c>
      <c r="R152" s="59">
        <f t="shared" si="109"/>
        <v>293.33333333333417</v>
      </c>
      <c r="S152" s="59">
        <f ca="1">AVERAGE(OFFSET($R$3,0,0,'Données projet'!$E$9+1,1))-AVERAGE(OFFSET($H$3,0,0,'Données projet'!$E$9+1,1))</f>
        <v>138.8931001150624</v>
      </c>
      <c r="T152" s="59">
        <f t="shared" si="142"/>
        <v>48.964659354096625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-7.4487616075202836E-14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191.94797389630673</v>
      </c>
      <c r="AO152" s="59">
        <f t="shared" si="144"/>
        <v>273.52540822767878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0.51846135296192186</v>
      </c>
      <c r="AW152" s="21">
        <f>EXP(-LN(2)/2)*AW151+(1-EXP(-LN(2)/2))/(LN(2)/2)*AQ152*AT152*VLOOKUP('Données projet'!$B$10,Paramètres!$A$1:$I$89,3,0)*0.475*44/12</f>
        <v>2.8461682897295327E-17</v>
      </c>
      <c r="AX152" s="21">
        <f t="shared" si="114"/>
        <v>0.762364776085662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3.5470293369144201E-14</v>
      </c>
      <c r="BF152" s="13">
        <f t="shared" si="145"/>
        <v>6.0119115841663204E-13</v>
      </c>
      <c r="BG152" s="20">
        <f t="shared" si="115"/>
        <v>1.1088520285268936E-12</v>
      </c>
      <c r="BH152" s="59">
        <f t="shared" si="116"/>
        <v>293.33333333333445</v>
      </c>
      <c r="BI152" s="59">
        <f ca="1">AVERAGE(OFFSET($BH$3,0,0,'Données projet'!$E$11+1,1))-AVERAGE(OFFSET($H$3,0,0,'Données projet'!$E$11+1,1))</f>
        <v>162.91481796710048</v>
      </c>
      <c r="BJ152" s="59">
        <f t="shared" si="146"/>
        <v>182.56192390367823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0.26348156736548073</v>
      </c>
      <c r="BQ152" s="21">
        <f>EXP(-LN(2)/25)*BQ151+(1-EXP(-LN(2)/25))/(LN(2)/25)*Calculateur!BL152*Calculateur!BN152*VLOOKUP('Données projet'!$B$11,Paramètres!$A$1:$I$89,3,0)*0.475*44/12</f>
        <v>0.56387224552870818</v>
      </c>
      <c r="BR152" s="21">
        <f>EXP(-LN(2)/2)*BR151+(1-EXP(-LN(2)/2))/(LN(2)/2)*BL152*BO152*VLOOKUP('Données projet'!$B$11,Paramètres!$A$1:$I$89,3,0)*0.475*44/12</f>
        <v>2.2042277064934665E-17</v>
      </c>
      <c r="BS152" s="22">
        <f t="shared" si="117"/>
        <v>0.82735381289418886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-5.3205440053716299E-14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123.60520571614535</v>
      </c>
      <c r="CE152" s="59">
        <f t="shared" si="148"/>
        <v>119.00926870519527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8.2161551252137699E-2</v>
      </c>
      <c r="CL152" s="21">
        <f>EXP(-LN(2)/25)*CL151+(1-EXP(-LN(2)/25))/(LN(2)/25)*Calculateur!CG152*Calculateur!CI152*VLOOKUP('Données projet'!$B$12,Paramètres!$A$1:$I$89,3,0)*0.475*44/12</f>
        <v>0.17629113698271151</v>
      </c>
      <c r="CM152" s="21">
        <f>EXP(-LN(2)/2)*CM151+(1-EXP(-LN(2)/2))/(LN(2)/2)*CG152*CJ152*VLOOKUP('Données projet'!$B$12,Paramètres!$A$1:$I$89,3,0)*0.475*44/12</f>
        <v>7.4992896379879559E-18</v>
      </c>
      <c r="CN152" s="22">
        <f t="shared" si="120"/>
        <v>0.25845268823484924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2.9706370696658272E-14</v>
      </c>
      <c r="CV152" s="13">
        <f t="shared" si="149"/>
        <v>5.1399863782592153E-13</v>
      </c>
      <c r="CW152" s="20">
        <f t="shared" si="121"/>
        <v>9.4695288984349312E-13</v>
      </c>
      <c r="CX152" s="59">
        <f t="shared" si="122"/>
        <v>293.33333333333428</v>
      </c>
      <c r="CY152" s="59">
        <f ca="1">AVERAGE(OFFSET($CX$3,0,0,'Données projet'!$E$13+1,1))-AVERAGE(OFFSET($H$3,0,0,'Données projet'!$E$13+1,1))</f>
        <v>177.94336949486529</v>
      </c>
      <c r="CZ152" s="59">
        <f t="shared" si="150"/>
        <v>65.559373432574603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3.3992364478763198E-14</v>
      </c>
      <c r="DQ152" s="13">
        <f t="shared" si="151"/>
        <v>5.790027782444094E-13</v>
      </c>
      <c r="DR152" s="20">
        <f t="shared" si="124"/>
        <v>1.0676332069095257E-12</v>
      </c>
      <c r="DS152" s="59">
        <f t="shared" si="125"/>
        <v>293.33333333333439</v>
      </c>
      <c r="DT152" s="59">
        <f ca="1">AVERAGE(OFFSET($DS$3,0,0,'Données projet'!$E$14+1,1))-AVERAGE(OFFSET($H$3,0,0,'Données projet'!$E$14+1,1))</f>
        <v>165.39579887388538</v>
      </c>
      <c r="DU152" s="59">
        <f t="shared" si="152"/>
        <v>155.89639262545802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0.26901703251896192</v>
      </c>
      <c r="EC152" s="21">
        <f>EXP(-LN(2)/2)*EC151+(1-EXP(-LN(2)/2))/(LN(2)/2)*DW152*DZ152*VLOOKUP('Données projet'!$B$14,Paramètres!$A$1:$I$89,3,0)*0.475*44/12</f>
        <v>1.7025733933106764E-17</v>
      </c>
      <c r="ED152" s="22">
        <f t="shared" si="126"/>
        <v>0.26901703251896192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-1.1368683772161603E-12</v>
      </c>
      <c r="EK152" s="17">
        <f>EJ152*VLOOKUP('Données projet'!$B$15,Paramètres!$A$1:$I$89,3,0)*VLOOKUP('Données projet'!$B$15,Paramètres!$A$1:$I$89,5,0)</f>
        <v>-5.4683368944097316E-13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252.30925789500111</v>
      </c>
      <c r="EP152" s="59">
        <f t="shared" si="154"/>
        <v>213.96033794804805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0.43884188135984326</v>
      </c>
      <c r="EW152" s="21">
        <f>EXP(-LN(2)/25)*EW151+(1-EXP(-LN(2)/25))/(LN(2)/25)*Calculateur!ER152*Calculateur!ET152*VLOOKUP('Données projet'!$B$15,Paramètres!$A$1:$I$89,3,0)*0.475*44/12</f>
        <v>0.34058374113464651</v>
      </c>
      <c r="EX152" s="21">
        <f>EXP(-LN(2)/2)*EX151+(1-EXP(-LN(2)/2))/(LN(2)/2)*ER152*EU152*VLOOKUP('Données projet'!$B$15,Paramètres!$A$1:$I$89,3,0)*0.475*44/12</f>
        <v>1.7635988235269029E-17</v>
      </c>
      <c r="EY152" s="22">
        <f t="shared" si="129"/>
        <v>0.77942562249448977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-1.1368683772161603E-12</v>
      </c>
      <c r="FF152" s="17">
        <f>FE152*VLOOKUP('Données projet'!$B$16,Paramètres!$A$1:$I$89,3,0)*VLOOKUP('Données projet'!$B$16,Paramètres!$A$1:$I$89,5,0)</f>
        <v>-5.4683368944097316E-13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252.30925789500111</v>
      </c>
      <c r="FK152" s="59">
        <f t="shared" si="156"/>
        <v>213.96033794804805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0.43884188135984326</v>
      </c>
      <c r="FR152" s="21">
        <f>EXP(-LN(2)/25)*FR151+(1-EXP(-LN(2)/25))/(LN(2)/25)*Calculateur!FM152*Calculateur!FO152*VLOOKUP('Données projet'!$B$16,Paramètres!$A$1:$I$89,3,0)*0.475*44/12</f>
        <v>0.34058374113464651</v>
      </c>
      <c r="FS152" s="21">
        <f>EXP(-LN(2)/2)*FS151+(1-EXP(-LN(2)/2))/(LN(2)/2)*FM152*FP152*VLOOKUP('Données projet'!$B$16,Paramètres!$A$1:$I$89,3,0)*0.475*44/12</f>
        <v>1.7635988235269029E-17</v>
      </c>
      <c r="FT152" s="22">
        <f t="shared" si="132"/>
        <v>0.77942562249448977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117.54638373164624</v>
      </c>
      <c r="GF152" s="59">
        <f t="shared" si="158"/>
        <v>133.0740262536583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0.20957611025547287</v>
      </c>
      <c r="GM152" s="21">
        <f>EXP(-LN(2)/25)*GM151+(1-EXP(-LN(2)/25))/(LN(2)/25)*Calculateur!GH152*Calculateur!GJ152*VLOOKUP('Données projet'!$B$17,Paramètres!$A$1:$I$89,3,0)*0.475*44/12</f>
        <v>0.31944335402985485</v>
      </c>
      <c r="GN152" s="21">
        <f>EXP(-LN(2)/2)*GN151+(1-EXP(-LN(2)/2))/(LN(2)/2)*GH152*GK152*VLOOKUP('Données projet'!$B$17,Paramètres!$A$1:$I$89,3,0)*0.475*44/12</f>
        <v>4.9623785487957512E-18</v>
      </c>
      <c r="GO152" s="21">
        <f t="shared" si="135"/>
        <v>0.52901946428532776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2.8421709430404007E-14</v>
      </c>
      <c r="GV152" s="17">
        <f>GU152*VLOOKUP('Données projet'!$B$18,Paramètres!$A$1:$I$89,3,0)*VLOOKUP('Données projet'!$B$18,Paramètres!$A$1:$I$89,5,0)</f>
        <v>1.3567387213697657E-14</v>
      </c>
      <c r="GW152" s="13">
        <f t="shared" si="159"/>
        <v>2.5717320947985821E-13</v>
      </c>
      <c r="GX152" s="20">
        <f t="shared" si="136"/>
        <v>4.7153987257460977E-13</v>
      </c>
      <c r="GY152" s="59">
        <f t="shared" si="137"/>
        <v>293.33333333333377</v>
      </c>
      <c r="GZ152" s="59">
        <f ca="1">AVERAGE(OFFSET($GY$3,0,0,'Données projet'!$E$18+1,1))-AVERAGE(OFFSET($H$3,0,0,'Données projet'!$E$18+1,1))</f>
        <v>43.147469606759159</v>
      </c>
      <c r="HA152" s="59">
        <f t="shared" si="160"/>
        <v>147.46995307968473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3.4162404855332369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6.7609586655309169E-19</v>
      </c>
      <c r="HJ152" s="22">
        <f t="shared" si="138"/>
        <v>3.4162404855332369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2.8421709430404007E-14</v>
      </c>
      <c r="O153" s="13">
        <f>N153*VLOOKUP('Données projet'!$B$9,Paramètres!$A$1:$I$89,3,0)*VLOOKUP('Données projet'!$B$9,Paramètres!$A$1:$I$89,5,0)</f>
        <v>2.5715962692629544E-14</v>
      </c>
      <c r="P153" s="13">
        <f t="shared" si="141"/>
        <v>4.5248818890525812E-13</v>
      </c>
      <c r="Q153" s="20">
        <f t="shared" si="108"/>
        <v>8.3287223069965432E-13</v>
      </c>
      <c r="R153" s="59">
        <f t="shared" si="109"/>
        <v>293.33333333333417</v>
      </c>
      <c r="S153" s="59">
        <f ca="1">AVERAGE(OFFSET($R$3,0,0,'Données projet'!$E$9+1,1))-AVERAGE(OFFSET($H$3,0,0,'Données projet'!$E$9+1,1))</f>
        <v>138.8931001150624</v>
      </c>
      <c r="T153" s="59">
        <f t="shared" si="142"/>
        <v>48.964659354096625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-7.4487616075202836E-14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191.94797389630673</v>
      </c>
      <c r="AO153" s="59">
        <f t="shared" si="144"/>
        <v>273.52540822767878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0.50428400000048057</v>
      </c>
      <c r="AW153" s="21">
        <f>EXP(-LN(2)/2)*AW152+(1-EXP(-LN(2)/2))/(LN(2)/2)*AQ153*AT153*VLOOKUP('Données projet'!$B$10,Paramètres!$A$1:$I$89,3,0)*0.475*44/12</f>
        <v>2.012544898065871E-17</v>
      </c>
      <c r="AX153" s="21">
        <f t="shared" si="114"/>
        <v>0.7434046257631628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3.5470293369144201E-14</v>
      </c>
      <c r="BF153" s="13">
        <f t="shared" si="145"/>
        <v>6.0119115841663204E-13</v>
      </c>
      <c r="BG153" s="20">
        <f t="shared" si="115"/>
        <v>1.1088520285268936E-12</v>
      </c>
      <c r="BH153" s="59">
        <f t="shared" si="116"/>
        <v>293.33333333333445</v>
      </c>
      <c r="BI153" s="59">
        <f ca="1">AVERAGE(OFFSET($BH$3,0,0,'Données projet'!$E$11+1,1))-AVERAGE(OFFSET($H$3,0,0,'Données projet'!$E$11+1,1))</f>
        <v>162.91481796710048</v>
      </c>
      <c r="BJ153" s="59">
        <f t="shared" si="146"/>
        <v>182.56192390367823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0.25831485453733116</v>
      </c>
      <c r="BQ153" s="21">
        <f>EXP(-LN(2)/25)*BQ152+(1-EXP(-LN(2)/25))/(LN(2)/25)*Calculateur!BL153*Calculateur!BN153*VLOOKUP('Données projet'!$B$11,Paramètres!$A$1:$I$89,3,0)*0.475*44/12</f>
        <v>0.54845312932197299</v>
      </c>
      <c r="BR153" s="21">
        <f>EXP(-LN(2)/2)*BR152+(1-EXP(-LN(2)/2))/(LN(2)/2)*BL153*BO153*VLOOKUP('Données projet'!$B$11,Paramètres!$A$1:$I$89,3,0)*0.475*44/12</f>
        <v>1.5586243585408011E-17</v>
      </c>
      <c r="BS153" s="22">
        <f t="shared" si="117"/>
        <v>0.80676798385930415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-5.3205440053716299E-14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123.60520571614535</v>
      </c>
      <c r="CE153" s="59">
        <f t="shared" si="148"/>
        <v>119.00926870519527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8.0550413345681235E-2</v>
      </c>
      <c r="CL153" s="21">
        <f>EXP(-LN(2)/25)*CL152+(1-EXP(-LN(2)/25))/(LN(2)/25)*Calculateur!CG153*Calculateur!CI153*VLOOKUP('Données projet'!$B$12,Paramètres!$A$1:$I$89,3,0)*0.475*44/12</f>
        <v>0.17147044657117128</v>
      </c>
      <c r="CM153" s="21">
        <f>EXP(-LN(2)/2)*CM152+(1-EXP(-LN(2)/2))/(LN(2)/2)*CG153*CJ153*VLOOKUP('Données projet'!$B$12,Paramètres!$A$1:$I$89,3,0)*0.475*44/12</f>
        <v>5.3027985571032928E-18</v>
      </c>
      <c r="CN153" s="22">
        <f t="shared" si="120"/>
        <v>0.25202085991685252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2.9706370696658272E-14</v>
      </c>
      <c r="CV153" s="13">
        <f t="shared" si="149"/>
        <v>5.1399863782592153E-13</v>
      </c>
      <c r="CW153" s="20">
        <f t="shared" si="121"/>
        <v>9.4695288984349312E-13</v>
      </c>
      <c r="CX153" s="59">
        <f t="shared" si="122"/>
        <v>293.33333333333428</v>
      </c>
      <c r="CY153" s="59">
        <f ca="1">AVERAGE(OFFSET($CX$3,0,0,'Données projet'!$E$13+1,1))-AVERAGE(OFFSET($H$3,0,0,'Données projet'!$E$13+1,1))</f>
        <v>177.94336949486529</v>
      </c>
      <c r="CZ153" s="59">
        <f t="shared" si="150"/>
        <v>65.559373432574603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3.3992364478763198E-14</v>
      </c>
      <c r="DQ153" s="13">
        <f t="shared" si="151"/>
        <v>5.790027782444094E-13</v>
      </c>
      <c r="DR153" s="20">
        <f t="shared" si="124"/>
        <v>1.0676332069095257E-12</v>
      </c>
      <c r="DS153" s="59">
        <f t="shared" si="125"/>
        <v>293.33333333333439</v>
      </c>
      <c r="DT153" s="59">
        <f ca="1">AVERAGE(OFFSET($DS$3,0,0,'Données projet'!$E$14+1,1))-AVERAGE(OFFSET($H$3,0,0,'Données projet'!$E$14+1,1))</f>
        <v>165.39579887388538</v>
      </c>
      <c r="DU153" s="59">
        <f t="shared" si="152"/>
        <v>155.89639262545802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0.26166074761774</v>
      </c>
      <c r="EC153" s="21">
        <f>EXP(-LN(2)/2)*EC152+(1-EXP(-LN(2)/2))/(LN(2)/2)*DW153*DZ153*VLOOKUP('Données projet'!$B$14,Paramètres!$A$1:$I$89,3,0)*0.475*44/12</f>
        <v>1.2039011918777702E-17</v>
      </c>
      <c r="ED153" s="22">
        <f t="shared" si="126"/>
        <v>0.26166074761774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-1.1368683772161603E-12</v>
      </c>
      <c r="EK153" s="17">
        <f>EJ153*VLOOKUP('Données projet'!$B$15,Paramètres!$A$1:$I$89,3,0)*VLOOKUP('Données projet'!$B$15,Paramètres!$A$1:$I$89,5,0)</f>
        <v>-5.4683368944097316E-13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252.30925789500111</v>
      </c>
      <c r="EP153" s="59">
        <f t="shared" si="154"/>
        <v>213.96033794804805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0.43023645973349445</v>
      </c>
      <c r="EW153" s="21">
        <f>EXP(-LN(2)/25)*EW152+(1-EXP(-LN(2)/25))/(LN(2)/25)*Calculateur!ER153*Calculateur!ET153*VLOOKUP('Données projet'!$B$15,Paramètres!$A$1:$I$89,3,0)*0.475*44/12</f>
        <v>0.3312704608227991</v>
      </c>
      <c r="EX153" s="21">
        <f>EXP(-LN(2)/2)*EX152+(1-EXP(-LN(2)/2))/(LN(2)/2)*ER153*EU153*VLOOKUP('Données projet'!$B$15,Paramètres!$A$1:$I$89,3,0)*0.475*44/12</f>
        <v>1.2470526874084904E-17</v>
      </c>
      <c r="EY153" s="22">
        <f t="shared" si="129"/>
        <v>0.76150692055629354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-1.1368683772161603E-12</v>
      </c>
      <c r="FF153" s="17">
        <f>FE153*VLOOKUP('Données projet'!$B$16,Paramètres!$A$1:$I$89,3,0)*VLOOKUP('Données projet'!$B$16,Paramètres!$A$1:$I$89,5,0)</f>
        <v>-5.4683368944097316E-13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252.30925789500111</v>
      </c>
      <c r="FK153" s="59">
        <f t="shared" si="156"/>
        <v>213.96033794804805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0.43023645973349445</v>
      </c>
      <c r="FR153" s="21">
        <f>EXP(-LN(2)/25)*FR152+(1-EXP(-LN(2)/25))/(LN(2)/25)*Calculateur!FM153*Calculateur!FO153*VLOOKUP('Données projet'!$B$16,Paramètres!$A$1:$I$89,3,0)*0.475*44/12</f>
        <v>0.3312704608227991</v>
      </c>
      <c r="FS153" s="21">
        <f>EXP(-LN(2)/2)*FS152+(1-EXP(-LN(2)/2))/(LN(2)/2)*FM153*FP153*VLOOKUP('Données projet'!$B$16,Paramètres!$A$1:$I$89,3,0)*0.475*44/12</f>
        <v>1.2470526874084904E-17</v>
      </c>
      <c r="FT153" s="22">
        <f t="shared" si="132"/>
        <v>0.76150692055629354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117.54638373164624</v>
      </c>
      <c r="GF153" s="59">
        <f t="shared" si="158"/>
        <v>133.0740262536583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0.20546645056216825</v>
      </c>
      <c r="GM153" s="21">
        <f>EXP(-LN(2)/25)*GM152+(1-EXP(-LN(2)/25))/(LN(2)/25)*Calculateur!GH153*Calculateur!GJ153*VLOOKUP('Données projet'!$B$17,Paramètres!$A$1:$I$89,3,0)*0.475*44/12</f>
        <v>0.31070815871511259</v>
      </c>
      <c r="GN153" s="21">
        <f>EXP(-LN(2)/2)*GN152+(1-EXP(-LN(2)/2))/(LN(2)/2)*GH153*GK153*VLOOKUP('Données projet'!$B$17,Paramètres!$A$1:$I$89,3,0)*0.475*44/12</f>
        <v>3.5089315226681345E-18</v>
      </c>
      <c r="GO153" s="21">
        <f t="shared" si="135"/>
        <v>0.51617460927728087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2.8421709430404007E-14</v>
      </c>
      <c r="GV153" s="17">
        <f>GU153*VLOOKUP('Données projet'!$B$18,Paramètres!$A$1:$I$89,3,0)*VLOOKUP('Données projet'!$B$18,Paramètres!$A$1:$I$89,5,0)</f>
        <v>1.3567387213697657E-14</v>
      </c>
      <c r="GW153" s="13">
        <f t="shared" si="159"/>
        <v>2.5717320947985821E-13</v>
      </c>
      <c r="GX153" s="20">
        <f t="shared" si="136"/>
        <v>4.7153987257460977E-13</v>
      </c>
      <c r="GY153" s="59">
        <f t="shared" si="137"/>
        <v>293.33333333333377</v>
      </c>
      <c r="GZ153" s="59">
        <f ca="1">AVERAGE(OFFSET($GY$3,0,0,'Données projet'!$E$18+1,1))-AVERAGE(OFFSET($H$3,0,0,'Données projet'!$E$18+1,1))</f>
        <v>43.147469606759159</v>
      </c>
      <c r="HA153" s="59">
        <f t="shared" si="160"/>
        <v>147.46995307968473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3.3492500933128779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4.7807197197188622E-19</v>
      </c>
      <c r="HJ153" s="22">
        <f t="shared" si="138"/>
        <v>3.3492500933128779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2.8421709430404007E-14</v>
      </c>
      <c r="O154" s="13">
        <f>N154*VLOOKUP('Données projet'!$B$9,Paramètres!$A$1:$I$89,3,0)*VLOOKUP('Données projet'!$B$9,Paramètres!$A$1:$I$89,5,0)</f>
        <v>2.5715962692629544E-14</v>
      </c>
      <c r="P154" s="13">
        <f t="shared" si="141"/>
        <v>4.5248818890525812E-13</v>
      </c>
      <c r="Q154" s="20">
        <f t="shared" ref="Q154:Q203" si="162">(O154+P154)*0.475*44/12</f>
        <v>8.3287223069965432E-13</v>
      </c>
      <c r="R154" s="59">
        <f t="shared" si="109"/>
        <v>293.33333333333417</v>
      </c>
      <c r="S154" s="59">
        <f ca="1">AVERAGE(OFFSET($R$3,0,0,'Données projet'!$E$9+1,1))-AVERAGE(OFFSET($H$3,0,0,'Données projet'!$E$9+1,1))</f>
        <v>138.8931001150624</v>
      </c>
      <c r="T154" s="59">
        <f t="shared" si="142"/>
        <v>48.964659354096625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-7.4487616075202836E-14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191.94797389630673</v>
      </c>
      <c r="AO154" s="59">
        <f t="shared" si="144"/>
        <v>273.52540822767878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0.49049432750132443</v>
      </c>
      <c r="AW154" s="21">
        <f>EXP(-LN(2)/2)*AW153+(1-EXP(-LN(2)/2))/(LN(2)/2)*AQ154*AT154*VLOOKUP('Données projet'!$B$10,Paramètres!$A$1:$I$89,3,0)*0.475*44/12</f>
        <v>1.4230841448647664E-17</v>
      </c>
      <c r="AX154" s="21">
        <f t="shared" ref="AX154:AX203" si="166">SUM(AU154:AW154)</f>
        <v>0.72492594364198082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3.5470293369144201E-14</v>
      </c>
      <c r="BF154" s="13">
        <f t="shared" ref="BF154:BF203" si="167">EXP(-1.0587+0.8836*LN(BE154)+0.284)</f>
        <v>6.0119115841663204E-13</v>
      </c>
      <c r="BG154" s="20">
        <f t="shared" ref="BG154:BG203" si="168">(BE154+BF154)*0.475*44/12</f>
        <v>1.1088520285268936E-12</v>
      </c>
      <c r="BH154" s="59">
        <f t="shared" si="116"/>
        <v>293.33333333333445</v>
      </c>
      <c r="BI154" s="59">
        <f ca="1">AVERAGE(OFFSET($BH$3,0,0,'Données projet'!$E$11+1,1))-AVERAGE(OFFSET($H$3,0,0,'Données projet'!$E$11+1,1))</f>
        <v>162.91481796710048</v>
      </c>
      <c r="BJ154" s="59">
        <f t="shared" si="146"/>
        <v>182.56192390367823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0.25324945779635794</v>
      </c>
      <c r="BQ154" s="21">
        <f>EXP(-LN(2)/25)*BQ153+(1-EXP(-LN(2)/25))/(LN(2)/25)*Calculateur!BL154*Calculateur!BN154*VLOOKUP('Données projet'!$B$11,Paramètres!$A$1:$I$89,3,0)*0.475*44/12</f>
        <v>0.53345564965876702</v>
      </c>
      <c r="BR154" s="21">
        <f>EXP(-LN(2)/2)*BR153+(1-EXP(-LN(2)/2))/(LN(2)/2)*BL154*BO154*VLOOKUP('Données projet'!$B$11,Paramètres!$A$1:$I$89,3,0)*0.475*44/12</f>
        <v>1.1021138532467333E-17</v>
      </c>
      <c r="BS154" s="22">
        <f t="shared" ref="BS154:BS203" si="169">SUM(BP154:BR154)</f>
        <v>0.78670510745512501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-5.3205440053716299E-14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123.60520571614535</v>
      </c>
      <c r="CE154" s="59">
        <f t="shared" si="148"/>
        <v>119.00926870519527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7.897086887087329E-2</v>
      </c>
      <c r="CL154" s="21">
        <f>EXP(-LN(2)/25)*CL153+(1-EXP(-LN(2)/25))/(LN(2)/25)*Calculateur!CG154*Calculateur!CI154*VLOOKUP('Données projet'!$B$12,Paramètres!$A$1:$I$89,3,0)*0.475*44/12</f>
        <v>0.16678157819244371</v>
      </c>
      <c r="CM154" s="21">
        <f>EXP(-LN(2)/2)*CM153+(1-EXP(-LN(2)/2))/(LN(2)/2)*CG154*CJ154*VLOOKUP('Données projet'!$B$12,Paramètres!$A$1:$I$89,3,0)*0.475*44/12</f>
        <v>3.7496448189939779E-18</v>
      </c>
      <c r="CN154" s="22">
        <f t="shared" ref="CN154:CN203" si="172">SUM(CK154:CM154)</f>
        <v>0.245752447063317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2.9706370696658272E-14</v>
      </c>
      <c r="CV154" s="13">
        <f t="shared" ref="CV154:CV203" si="173">EXP(-1.0587+0.8836*LN(CU154)+0.284)</f>
        <v>5.1399863782592153E-13</v>
      </c>
      <c r="CW154" s="20">
        <f t="shared" ref="CW154:CW203" si="174">(CU154+CV154)*0.475*44/12</f>
        <v>9.4695288984349312E-13</v>
      </c>
      <c r="CX154" s="59">
        <f t="shared" si="122"/>
        <v>293.33333333333428</v>
      </c>
      <c r="CY154" s="59">
        <f ca="1">AVERAGE(OFFSET($CX$3,0,0,'Données projet'!$E$13+1,1))-AVERAGE(OFFSET($H$3,0,0,'Données projet'!$E$13+1,1))</f>
        <v>177.94336949486529</v>
      </c>
      <c r="CZ154" s="59">
        <f t="shared" si="150"/>
        <v>65.559373432574603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3.3992364478763198E-14</v>
      </c>
      <c r="DQ154" s="13">
        <f t="shared" ref="DQ154:DQ203" si="176">EXP(-1.0587+0.8836*LN(DP154)+0.284)</f>
        <v>5.790027782444094E-13</v>
      </c>
      <c r="DR154" s="20">
        <f t="shared" ref="DR154:DR203" si="177">(DP154+DQ154)*0.475*44/12</f>
        <v>1.0676332069095257E-12</v>
      </c>
      <c r="DS154" s="59">
        <f t="shared" si="125"/>
        <v>293.33333333333439</v>
      </c>
      <c r="DT154" s="59">
        <f ca="1">AVERAGE(OFFSET($DS$3,0,0,'Données projet'!$E$14+1,1))-AVERAGE(OFFSET($H$3,0,0,'Données projet'!$E$14+1,1))</f>
        <v>165.39579887388538</v>
      </c>
      <c r="DU154" s="59">
        <f t="shared" si="152"/>
        <v>155.89639262545802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0.25450562071399219</v>
      </c>
      <c r="EC154" s="21">
        <f>EXP(-LN(2)/2)*EC153+(1-EXP(-LN(2)/2))/(LN(2)/2)*DW154*DZ154*VLOOKUP('Données projet'!$B$14,Paramètres!$A$1:$I$89,3,0)*0.475*44/12</f>
        <v>8.5128669665533818E-18</v>
      </c>
      <c r="ED154" s="22">
        <f t="shared" ref="ED154:ED203" si="178">SUM(EA154:EC154)</f>
        <v>0.25450562071399219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-1.1368683772161603E-12</v>
      </c>
      <c r="EK154" s="17">
        <f>EJ154*VLOOKUP('Données projet'!$B$15,Paramètres!$A$1:$I$89,3,0)*VLOOKUP('Données projet'!$B$15,Paramètres!$A$1:$I$89,5,0)</f>
        <v>-5.4683368944097316E-13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252.30925789500111</v>
      </c>
      <c r="EP154" s="59">
        <f t="shared" si="154"/>
        <v>213.96033794804805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0.42179978517644939</v>
      </c>
      <c r="EW154" s="21">
        <f>EXP(-LN(2)/25)*EW153+(1-EXP(-LN(2)/25))/(LN(2)/25)*Calculateur!ER154*Calculateur!ET154*VLOOKUP('Données projet'!$B$15,Paramètres!$A$1:$I$89,3,0)*0.475*44/12</f>
        <v>0.32221185265084323</v>
      </c>
      <c r="EX154" s="21">
        <f>EXP(-LN(2)/2)*EX153+(1-EXP(-LN(2)/2))/(LN(2)/2)*ER154*EU154*VLOOKUP('Données projet'!$B$15,Paramètres!$A$1:$I$89,3,0)*0.475*44/12</f>
        <v>8.8179941176345147E-18</v>
      </c>
      <c r="EY154" s="22">
        <f t="shared" ref="EY154:EY203" si="181">SUM(EV154:EX154)</f>
        <v>0.74401163782729263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-1.1368683772161603E-12</v>
      </c>
      <c r="FF154" s="17">
        <f>FE154*VLOOKUP('Données projet'!$B$16,Paramètres!$A$1:$I$89,3,0)*VLOOKUP('Données projet'!$B$16,Paramètres!$A$1:$I$89,5,0)</f>
        <v>-5.4683368944097316E-13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252.30925789500111</v>
      </c>
      <c r="FK154" s="59">
        <f t="shared" si="156"/>
        <v>213.96033794804805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0.42179978517644939</v>
      </c>
      <c r="FR154" s="21">
        <f>EXP(-LN(2)/25)*FR153+(1-EXP(-LN(2)/25))/(LN(2)/25)*Calculateur!FM154*Calculateur!FO154*VLOOKUP('Données projet'!$B$16,Paramètres!$A$1:$I$89,3,0)*0.475*44/12</f>
        <v>0.32221185265084323</v>
      </c>
      <c r="FS154" s="21">
        <f>EXP(-LN(2)/2)*FS153+(1-EXP(-LN(2)/2))/(LN(2)/2)*FM154*FP154*VLOOKUP('Données projet'!$B$16,Paramètres!$A$1:$I$89,3,0)*0.475*44/12</f>
        <v>8.8179941176345147E-18</v>
      </c>
      <c r="FT154" s="22">
        <f t="shared" ref="FT154:FT203" si="184">SUM(FQ154:FS154)</f>
        <v>0.74401163782729263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117.54638373164624</v>
      </c>
      <c r="GF154" s="59">
        <f t="shared" si="158"/>
        <v>133.0740262536583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0.20143737878880444</v>
      </c>
      <c r="GM154" s="21">
        <f>EXP(-LN(2)/25)*GM153+(1-EXP(-LN(2)/25))/(LN(2)/25)*Calculateur!GH154*Calculateur!GJ154*VLOOKUP('Données projet'!$B$17,Paramètres!$A$1:$I$89,3,0)*0.475*44/12</f>
        <v>0.30221182777561589</v>
      </c>
      <c r="GN154" s="21">
        <f>EXP(-LN(2)/2)*GN153+(1-EXP(-LN(2)/2))/(LN(2)/2)*GH154*GK154*VLOOKUP('Données projet'!$B$17,Paramètres!$A$1:$I$89,3,0)*0.475*44/12</f>
        <v>2.4811892743978756E-18</v>
      </c>
      <c r="GO154" s="21">
        <f t="shared" ref="GO154:GO203" si="187">SUM(GL154:GN154)</f>
        <v>0.50364920656442036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2.8421709430404007E-14</v>
      </c>
      <c r="GV154" s="17">
        <f>GU154*VLOOKUP('Données projet'!$B$18,Paramètres!$A$1:$I$89,3,0)*VLOOKUP('Données projet'!$B$18,Paramètres!$A$1:$I$89,5,0)</f>
        <v>1.3567387213697657E-14</v>
      </c>
      <c r="GW154" s="13">
        <f t="shared" ref="GW154:GW203" si="188">EXP(-1.0587+0.8836*LN(GV154)+0.284)</f>
        <v>2.5717320947985821E-13</v>
      </c>
      <c r="GX154" s="20">
        <f t="shared" ref="GX154:GX203" si="189">(GV154+GW154)*0.475*44/12</f>
        <v>4.7153987257460977E-13</v>
      </c>
      <c r="GY154" s="59">
        <f t="shared" si="137"/>
        <v>293.33333333333377</v>
      </c>
      <c r="GZ154" s="59">
        <f ca="1">AVERAGE(OFFSET($GY$3,0,0,'Données projet'!$E$18+1,1))-AVERAGE(OFFSET($H$3,0,0,'Données projet'!$E$18+1,1))</f>
        <v>43.147469606759159</v>
      </c>
      <c r="HA154" s="59">
        <f t="shared" si="160"/>
        <v>147.46995307968473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3.2835733418238555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3.3804793327654584E-19</v>
      </c>
      <c r="HJ154" s="22">
        <f t="shared" ref="HJ154:HJ203" si="190">SUM(HG154:HI154)</f>
        <v>3.2835733418238555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2.8421709430404007E-14</v>
      </c>
      <c r="O155" s="13">
        <f>N155*VLOOKUP('Données projet'!$B$9,Paramètres!$A$1:$I$89,3,0)*VLOOKUP('Données projet'!$B$9,Paramètres!$A$1:$I$89,5,0)</f>
        <v>2.5715962692629544E-14</v>
      </c>
      <c r="P155" s="13">
        <f t="shared" si="141"/>
        <v>4.5248818890525812E-13</v>
      </c>
      <c r="Q155" s="20">
        <f t="shared" si="162"/>
        <v>8.3287223069965432E-13</v>
      </c>
      <c r="R155" s="59">
        <f t="shared" si="109"/>
        <v>293.33333333333417</v>
      </c>
      <c r="S155" s="59">
        <f ca="1">AVERAGE(OFFSET($R$3,0,0,'Données projet'!$E$9+1,1))-AVERAGE(OFFSET($H$3,0,0,'Données projet'!$E$9+1,1))</f>
        <v>138.8931001150624</v>
      </c>
      <c r="T155" s="59">
        <f t="shared" si="142"/>
        <v>48.964659354096625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-7.4487616075202836E-14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191.94797389630673</v>
      </c>
      <c r="AO155" s="59">
        <f t="shared" si="144"/>
        <v>273.52540822767878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0.4770817343218251</v>
      </c>
      <c r="AW155" s="21">
        <f>EXP(-LN(2)/2)*AW154+(1-EXP(-LN(2)/2))/(LN(2)/2)*AQ155*AT155*VLOOKUP('Données projet'!$B$10,Paramètres!$A$1:$I$89,3,0)*0.475*44/12</f>
        <v>1.0062724490329355E-17</v>
      </c>
      <c r="AX155" s="21">
        <f t="shared" si="166"/>
        <v>0.70691628945912999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3.5470293369144201E-14</v>
      </c>
      <c r="BF155" s="13">
        <f t="shared" si="167"/>
        <v>6.0119115841663204E-13</v>
      </c>
      <c r="BG155" s="20">
        <f t="shared" si="168"/>
        <v>1.1088520285268936E-12</v>
      </c>
      <c r="BH155" s="59">
        <f t="shared" si="116"/>
        <v>293.33333333333445</v>
      </c>
      <c r="BI155" s="59">
        <f ca="1">AVERAGE(OFFSET($BH$3,0,0,'Données projet'!$E$11+1,1))-AVERAGE(OFFSET($H$3,0,0,'Données projet'!$E$11+1,1))</f>
        <v>162.91481796710048</v>
      </c>
      <c r="BJ155" s="59">
        <f t="shared" si="146"/>
        <v>182.56192390367823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0.24828339039588826</v>
      </c>
      <c r="BQ155" s="21">
        <f>EXP(-LN(2)/25)*BQ154+(1-EXP(-LN(2)/25))/(LN(2)/25)*Calculateur!BL155*Calculateur!BN155*VLOOKUP('Données projet'!$B$11,Paramètres!$A$1:$I$89,3,0)*0.475*44/12</f>
        <v>0.51886827686563464</v>
      </c>
      <c r="BR155" s="21">
        <f>EXP(-LN(2)/2)*BR154+(1-EXP(-LN(2)/2))/(LN(2)/2)*BL155*BO155*VLOOKUP('Données projet'!$B$11,Paramètres!$A$1:$I$89,3,0)*0.475*44/12</f>
        <v>7.7931217927040055E-18</v>
      </c>
      <c r="BS155" s="22">
        <f t="shared" si="169"/>
        <v>0.76715166726152284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-5.3205440053716299E-14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123.60520571614535</v>
      </c>
      <c r="CE155" s="59">
        <f t="shared" si="148"/>
        <v>119.00926870519527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7.7422298299789333E-2</v>
      </c>
      <c r="CL155" s="21">
        <f>EXP(-LN(2)/25)*CL154+(1-EXP(-LN(2)/25))/(LN(2)/25)*Calculateur!CG155*Calculateur!CI155*VLOOKUP('Données projet'!$B$12,Paramètres!$A$1:$I$89,3,0)*0.475*44/12</f>
        <v>0.16222092716610934</v>
      </c>
      <c r="CM155" s="21">
        <f>EXP(-LN(2)/2)*CM154+(1-EXP(-LN(2)/2))/(LN(2)/2)*CG155*CJ155*VLOOKUP('Données projet'!$B$12,Paramètres!$A$1:$I$89,3,0)*0.475*44/12</f>
        <v>2.6513992785516464E-18</v>
      </c>
      <c r="CN155" s="22">
        <f t="shared" si="172"/>
        <v>0.23964322546589867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2.9706370696658272E-14</v>
      </c>
      <c r="CV155" s="13">
        <f t="shared" si="173"/>
        <v>5.1399863782592153E-13</v>
      </c>
      <c r="CW155" s="20">
        <f t="shared" si="174"/>
        <v>9.4695288984349312E-13</v>
      </c>
      <c r="CX155" s="59">
        <f t="shared" si="122"/>
        <v>293.33333333333428</v>
      </c>
      <c r="CY155" s="59">
        <f ca="1">AVERAGE(OFFSET($CX$3,0,0,'Données projet'!$E$13+1,1))-AVERAGE(OFFSET($H$3,0,0,'Données projet'!$E$13+1,1))</f>
        <v>177.94336949486529</v>
      </c>
      <c r="CZ155" s="59">
        <f t="shared" si="150"/>
        <v>65.559373432574603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3.3992364478763198E-14</v>
      </c>
      <c r="DQ155" s="13">
        <f t="shared" si="176"/>
        <v>5.790027782444094E-13</v>
      </c>
      <c r="DR155" s="20">
        <f t="shared" si="177"/>
        <v>1.0676332069095257E-12</v>
      </c>
      <c r="DS155" s="59">
        <f t="shared" si="125"/>
        <v>293.33333333333439</v>
      </c>
      <c r="DT155" s="59">
        <f ca="1">AVERAGE(OFFSET($DS$3,0,0,'Données projet'!$E$14+1,1))-AVERAGE(OFFSET($H$3,0,0,'Données projet'!$E$14+1,1))</f>
        <v>165.39579887388538</v>
      </c>
      <c r="DU155" s="59">
        <f t="shared" si="152"/>
        <v>155.89639262545802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0.24754615113169914</v>
      </c>
      <c r="EC155" s="21">
        <f>EXP(-LN(2)/2)*EC154+(1-EXP(-LN(2)/2))/(LN(2)/2)*DW155*DZ155*VLOOKUP('Données projet'!$B$14,Paramètres!$A$1:$I$89,3,0)*0.475*44/12</f>
        <v>6.0195059593888509E-18</v>
      </c>
      <c r="ED155" s="22">
        <f t="shared" si="178"/>
        <v>0.24754615113169914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-1.1368683772161603E-12</v>
      </c>
      <c r="EK155" s="17">
        <f>EJ155*VLOOKUP('Données projet'!$B$15,Paramètres!$A$1:$I$89,3,0)*VLOOKUP('Données projet'!$B$15,Paramètres!$A$1:$I$89,5,0)</f>
        <v>-5.4683368944097316E-13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252.30925789500111</v>
      </c>
      <c r="EP155" s="59">
        <f t="shared" si="154"/>
        <v>213.96033794804805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0.41352854866160466</v>
      </c>
      <c r="EW155" s="21">
        <f>EXP(-LN(2)/25)*EW154+(1-EXP(-LN(2)/25))/(LN(2)/25)*Calculateur!ER155*Calculateur!ET155*VLOOKUP('Données projet'!$B$15,Paramètres!$A$1:$I$89,3,0)*0.475*44/12</f>
        <v>0.31340095259572104</v>
      </c>
      <c r="EX155" s="21">
        <f>EXP(-LN(2)/2)*EX154+(1-EXP(-LN(2)/2))/(LN(2)/2)*ER155*EU155*VLOOKUP('Données projet'!$B$15,Paramètres!$A$1:$I$89,3,0)*0.475*44/12</f>
        <v>6.2352634370424521E-18</v>
      </c>
      <c r="EY155" s="22">
        <f t="shared" si="181"/>
        <v>0.72692950125732569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-1.1368683772161603E-12</v>
      </c>
      <c r="FF155" s="17">
        <f>FE155*VLOOKUP('Données projet'!$B$16,Paramètres!$A$1:$I$89,3,0)*VLOOKUP('Données projet'!$B$16,Paramètres!$A$1:$I$89,5,0)</f>
        <v>-5.4683368944097316E-13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252.30925789500111</v>
      </c>
      <c r="FK155" s="59">
        <f t="shared" si="156"/>
        <v>213.96033794804805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0.41352854866160466</v>
      </c>
      <c r="FR155" s="21">
        <f>EXP(-LN(2)/25)*FR154+(1-EXP(-LN(2)/25))/(LN(2)/25)*Calculateur!FM155*Calculateur!FO155*VLOOKUP('Données projet'!$B$16,Paramètres!$A$1:$I$89,3,0)*0.475*44/12</f>
        <v>0.31340095259572104</v>
      </c>
      <c r="FS155" s="21">
        <f>EXP(-LN(2)/2)*FS154+(1-EXP(-LN(2)/2))/(LN(2)/2)*FM155*FP155*VLOOKUP('Données projet'!$B$16,Paramètres!$A$1:$I$89,3,0)*0.475*44/12</f>
        <v>6.2352634370424521E-18</v>
      </c>
      <c r="FT155" s="22">
        <f t="shared" si="184"/>
        <v>0.72692950125732569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117.54638373164624</v>
      </c>
      <c r="GF155" s="59">
        <f t="shared" si="158"/>
        <v>133.0740262536583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0.19748731465542516</v>
      </c>
      <c r="GM155" s="21">
        <f>EXP(-LN(2)/25)*GM154+(1-EXP(-LN(2)/25))/(LN(2)/25)*Calculateur!GH155*Calculateur!GJ155*VLOOKUP('Données projet'!$B$17,Paramètres!$A$1:$I$89,3,0)*0.475*44/12</f>
        <v>0.29394782945246239</v>
      </c>
      <c r="GN155" s="21">
        <f>EXP(-LN(2)/2)*GN154+(1-EXP(-LN(2)/2))/(LN(2)/2)*GH155*GK155*VLOOKUP('Données projet'!$B$17,Paramètres!$A$1:$I$89,3,0)*0.475*44/12</f>
        <v>1.7544657613340672E-18</v>
      </c>
      <c r="GO155" s="21">
        <f t="shared" si="187"/>
        <v>0.49143514410788758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2.8421709430404007E-14</v>
      </c>
      <c r="GV155" s="17">
        <f>GU155*VLOOKUP('Données projet'!$B$18,Paramètres!$A$1:$I$89,3,0)*VLOOKUP('Données projet'!$B$18,Paramètres!$A$1:$I$89,5,0)</f>
        <v>1.3567387213697657E-14</v>
      </c>
      <c r="GW155" s="13">
        <f t="shared" si="188"/>
        <v>2.5717320947985821E-13</v>
      </c>
      <c r="GX155" s="20">
        <f t="shared" si="189"/>
        <v>4.7153987257460977E-13</v>
      </c>
      <c r="GY155" s="59">
        <f t="shared" si="137"/>
        <v>293.33333333333377</v>
      </c>
      <c r="GZ155" s="59">
        <f ca="1">AVERAGE(OFFSET($GY$3,0,0,'Données projet'!$E$18+1,1))-AVERAGE(OFFSET($H$3,0,0,'Données projet'!$E$18+1,1))</f>
        <v>43.147469606759159</v>
      </c>
      <c r="HA155" s="59">
        <f t="shared" si="160"/>
        <v>147.46995307968473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3.2191844713726701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2.3903598598594311E-19</v>
      </c>
      <c r="HJ155" s="22">
        <f t="shared" si="190"/>
        <v>3.2191844713726701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2.8421709430404007E-14</v>
      </c>
      <c r="O156" s="13">
        <f>N156*VLOOKUP('Données projet'!$B$9,Paramètres!$A$1:$I$89,3,0)*VLOOKUP('Données projet'!$B$9,Paramètres!$A$1:$I$89,5,0)</f>
        <v>2.5715962692629544E-14</v>
      </c>
      <c r="P156" s="13">
        <f t="shared" si="141"/>
        <v>4.5248818890525812E-13</v>
      </c>
      <c r="Q156" s="20">
        <f t="shared" si="162"/>
        <v>8.3287223069965432E-13</v>
      </c>
      <c r="R156" s="59">
        <f t="shared" si="109"/>
        <v>293.33333333333417</v>
      </c>
      <c r="S156" s="59">
        <f ca="1">AVERAGE(OFFSET($R$3,0,0,'Données projet'!$E$9+1,1))-AVERAGE(OFFSET($H$3,0,0,'Données projet'!$E$9+1,1))</f>
        <v>138.8931001150624</v>
      </c>
      <c r="T156" s="59">
        <f t="shared" si="142"/>
        <v>48.964659354096625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-7.4487616075202836E-14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191.94797389630673</v>
      </c>
      <c r="AO156" s="59">
        <f t="shared" si="144"/>
        <v>273.52540822767878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0.46403590920815679</v>
      </c>
      <c r="AW156" s="21">
        <f>EXP(-LN(2)/2)*AW155+(1-EXP(-LN(2)/2))/(LN(2)/2)*AQ156*AT156*VLOOKUP('Données projet'!$B$10,Paramètres!$A$1:$I$89,3,0)*0.475*44/12</f>
        <v>7.1154207243238319E-18</v>
      </c>
      <c r="AX156" s="21">
        <f t="shared" si="166"/>
        <v>0.68936354890445561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3.5470293369144201E-14</v>
      </c>
      <c r="BF156" s="13">
        <f t="shared" si="167"/>
        <v>6.0119115841663204E-13</v>
      </c>
      <c r="BG156" s="20">
        <f t="shared" si="168"/>
        <v>1.1088520285268936E-12</v>
      </c>
      <c r="BH156" s="59">
        <f t="shared" si="116"/>
        <v>293.33333333333445</v>
      </c>
      <c r="BI156" s="59">
        <f ca="1">AVERAGE(OFFSET($BH$3,0,0,'Données projet'!$E$11+1,1))-AVERAGE(OFFSET($H$3,0,0,'Données projet'!$E$11+1,1))</f>
        <v>162.91481796710048</v>
      </c>
      <c r="BJ156" s="59">
        <f t="shared" si="146"/>
        <v>182.56192390367823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0.24341470454813979</v>
      </c>
      <c r="BQ156" s="21">
        <f>EXP(-LN(2)/25)*BQ155+(1-EXP(-LN(2)/25))/(LN(2)/25)*Calculateur!BL156*Calculateur!BN156*VLOOKUP('Données projet'!$B$11,Paramètres!$A$1:$I$89,3,0)*0.475*44/12</f>
        <v>0.50467979654864703</v>
      </c>
      <c r="BR156" s="21">
        <f>EXP(-LN(2)/2)*BR155+(1-EXP(-LN(2)/2))/(LN(2)/2)*BL156*BO156*VLOOKUP('Données projet'!$B$11,Paramètres!$A$1:$I$89,3,0)*0.475*44/12</f>
        <v>5.5105692662336664E-18</v>
      </c>
      <c r="BS156" s="22">
        <f t="shared" si="169"/>
        <v>0.74809450109678677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-5.3205440053716299E-14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123.60520571614535</v>
      </c>
      <c r="CE156" s="59">
        <f t="shared" si="148"/>
        <v>119.00926870519527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7.5904094253069543E-2</v>
      </c>
      <c r="CL156" s="21">
        <f>EXP(-LN(2)/25)*CL155+(1-EXP(-LN(2)/25))/(LN(2)/25)*Calculateur!CG156*Calculateur!CI156*VLOOKUP('Données projet'!$B$12,Paramètres!$A$1:$I$89,3,0)*0.475*44/12</f>
        <v>0.15778498738192429</v>
      </c>
      <c r="CM156" s="21">
        <f>EXP(-LN(2)/2)*CM155+(1-EXP(-LN(2)/2))/(LN(2)/2)*CG156*CJ156*VLOOKUP('Données projet'!$B$12,Paramètres!$A$1:$I$89,3,0)*0.475*44/12</f>
        <v>1.874822409496989E-18</v>
      </c>
      <c r="CN156" s="22">
        <f t="shared" si="172"/>
        <v>0.23368908163499383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2.9706370696658272E-14</v>
      </c>
      <c r="CV156" s="13">
        <f t="shared" si="173"/>
        <v>5.1399863782592153E-13</v>
      </c>
      <c r="CW156" s="20">
        <f t="shared" si="174"/>
        <v>9.4695288984349312E-13</v>
      </c>
      <c r="CX156" s="59">
        <f t="shared" si="122"/>
        <v>293.33333333333428</v>
      </c>
      <c r="CY156" s="59">
        <f ca="1">AVERAGE(OFFSET($CX$3,0,0,'Données projet'!$E$13+1,1))-AVERAGE(OFFSET($H$3,0,0,'Données projet'!$E$13+1,1))</f>
        <v>177.94336949486529</v>
      </c>
      <c r="CZ156" s="59">
        <f t="shared" si="150"/>
        <v>65.559373432574603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3.3992364478763198E-14</v>
      </c>
      <c r="DQ156" s="13">
        <f t="shared" si="176"/>
        <v>5.790027782444094E-13</v>
      </c>
      <c r="DR156" s="20">
        <f t="shared" si="177"/>
        <v>1.0676332069095257E-12</v>
      </c>
      <c r="DS156" s="59">
        <f t="shared" si="125"/>
        <v>293.33333333333439</v>
      </c>
      <c r="DT156" s="59">
        <f ca="1">AVERAGE(OFFSET($DS$3,0,0,'Données projet'!$E$14+1,1))-AVERAGE(OFFSET($H$3,0,0,'Données projet'!$E$14+1,1))</f>
        <v>165.39579887388538</v>
      </c>
      <c r="DU156" s="59">
        <f t="shared" si="152"/>
        <v>155.89639262545802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0.24077698861111652</v>
      </c>
      <c r="EC156" s="21">
        <f>EXP(-LN(2)/2)*EC155+(1-EXP(-LN(2)/2))/(LN(2)/2)*DW156*DZ156*VLOOKUP('Données projet'!$B$14,Paramètres!$A$1:$I$89,3,0)*0.475*44/12</f>
        <v>4.2564334832766909E-18</v>
      </c>
      <c r="ED156" s="22">
        <f t="shared" si="178"/>
        <v>0.24077698861111652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-1.1368683772161603E-12</v>
      </c>
      <c r="EK156" s="17">
        <f>EJ156*VLOOKUP('Données projet'!$B$15,Paramètres!$A$1:$I$89,3,0)*VLOOKUP('Données projet'!$B$15,Paramètres!$A$1:$I$89,5,0)</f>
        <v>-5.4683368944097316E-13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252.30925789500111</v>
      </c>
      <c r="EP156" s="59">
        <f t="shared" si="154"/>
        <v>213.96033794804805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0.40541950604985988</v>
      </c>
      <c r="EW156" s="21">
        <f>EXP(-LN(2)/25)*EW155+(1-EXP(-LN(2)/25))/(LN(2)/25)*Calculateur!ER156*Calculateur!ET156*VLOOKUP('Données projet'!$B$15,Paramètres!$A$1:$I$89,3,0)*0.475*44/12</f>
        <v>0.30483098706595124</v>
      </c>
      <c r="EX156" s="21">
        <f>EXP(-LN(2)/2)*EX155+(1-EXP(-LN(2)/2))/(LN(2)/2)*ER156*EU156*VLOOKUP('Données projet'!$B$15,Paramètres!$A$1:$I$89,3,0)*0.475*44/12</f>
        <v>4.4089970588172574E-18</v>
      </c>
      <c r="EY156" s="22">
        <f t="shared" si="181"/>
        <v>0.71025049311581112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-1.1368683772161603E-12</v>
      </c>
      <c r="FF156" s="17">
        <f>FE156*VLOOKUP('Données projet'!$B$16,Paramètres!$A$1:$I$89,3,0)*VLOOKUP('Données projet'!$B$16,Paramètres!$A$1:$I$89,5,0)</f>
        <v>-5.4683368944097316E-13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252.30925789500111</v>
      </c>
      <c r="FK156" s="59">
        <f t="shared" si="156"/>
        <v>213.96033794804805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0.40541950604985988</v>
      </c>
      <c r="FR156" s="21">
        <f>EXP(-LN(2)/25)*FR155+(1-EXP(-LN(2)/25))/(LN(2)/25)*Calculateur!FM156*Calculateur!FO156*VLOOKUP('Données projet'!$B$16,Paramètres!$A$1:$I$89,3,0)*0.475*44/12</f>
        <v>0.30483098706595124</v>
      </c>
      <c r="FS156" s="21">
        <f>EXP(-LN(2)/2)*FS155+(1-EXP(-LN(2)/2))/(LN(2)/2)*FM156*FP156*VLOOKUP('Données projet'!$B$16,Paramètres!$A$1:$I$89,3,0)*0.475*44/12</f>
        <v>4.4089970588172574E-18</v>
      </c>
      <c r="FT156" s="22">
        <f t="shared" si="184"/>
        <v>0.71025049311581112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117.54638373164624</v>
      </c>
      <c r="GF156" s="59">
        <f t="shared" si="158"/>
        <v>133.0740262536583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0.19361470887040022</v>
      </c>
      <c r="GM156" s="21">
        <f>EXP(-LN(2)/25)*GM155+(1-EXP(-LN(2)/25))/(LN(2)/25)*Calculateur!GH156*Calculateur!GJ156*VLOOKUP('Données projet'!$B$17,Paramètres!$A$1:$I$89,3,0)*0.475*44/12</f>
        <v>0.28590981059804027</v>
      </c>
      <c r="GN156" s="21">
        <f>EXP(-LN(2)/2)*GN155+(1-EXP(-LN(2)/2))/(LN(2)/2)*GH156*GK156*VLOOKUP('Données projet'!$B$17,Paramètres!$A$1:$I$89,3,0)*0.475*44/12</f>
        <v>1.2405946371989378E-18</v>
      </c>
      <c r="GO156" s="21">
        <f t="shared" si="187"/>
        <v>0.47952451946844049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2.8421709430404007E-14</v>
      </c>
      <c r="GV156" s="17">
        <f>GU156*VLOOKUP('Données projet'!$B$18,Paramètres!$A$1:$I$89,3,0)*VLOOKUP('Données projet'!$B$18,Paramètres!$A$1:$I$89,5,0)</f>
        <v>1.3567387213697657E-14</v>
      </c>
      <c r="GW156" s="13">
        <f t="shared" si="188"/>
        <v>2.5717320947985821E-13</v>
      </c>
      <c r="GX156" s="20">
        <f t="shared" si="189"/>
        <v>4.7153987257460977E-13</v>
      </c>
      <c r="GY156" s="59">
        <f t="shared" si="137"/>
        <v>293.33333333333377</v>
      </c>
      <c r="GZ156" s="59">
        <f ca="1">AVERAGE(OFFSET($GY$3,0,0,'Données projet'!$E$18+1,1))-AVERAGE(OFFSET($H$3,0,0,'Données projet'!$E$18+1,1))</f>
        <v>43.147469606759159</v>
      </c>
      <c r="HA156" s="59">
        <f t="shared" si="160"/>
        <v>147.46995307968473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3.1560582273976991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1.6902396663827292E-19</v>
      </c>
      <c r="HJ156" s="22">
        <f t="shared" si="190"/>
        <v>3.1560582273976991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2.8421709430404007E-14</v>
      </c>
      <c r="O157" s="13">
        <f>N157*VLOOKUP('Données projet'!$B$9,Paramètres!$A$1:$I$89,3,0)*VLOOKUP('Données projet'!$B$9,Paramètres!$A$1:$I$89,5,0)</f>
        <v>2.5715962692629544E-14</v>
      </c>
      <c r="P157" s="13">
        <f t="shared" si="141"/>
        <v>4.5248818890525812E-13</v>
      </c>
      <c r="Q157" s="20">
        <f t="shared" si="162"/>
        <v>8.3287223069965432E-13</v>
      </c>
      <c r="R157" s="59">
        <f t="shared" si="109"/>
        <v>293.33333333333417</v>
      </c>
      <c r="S157" s="59">
        <f ca="1">AVERAGE(OFFSET($R$3,0,0,'Données projet'!$E$9+1,1))-AVERAGE(OFFSET($H$3,0,0,'Données projet'!$E$9+1,1))</f>
        <v>138.8931001150624</v>
      </c>
      <c r="T157" s="59">
        <f t="shared" si="142"/>
        <v>48.964659354096625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-7.4487616075202836E-14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191.94797389630673</v>
      </c>
      <c r="AO157" s="59">
        <f t="shared" si="144"/>
        <v>273.52540822767878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0.45134682286827182</v>
      </c>
      <c r="AW157" s="21">
        <f>EXP(-LN(2)/2)*AW156+(1-EXP(-LN(2)/2))/(LN(2)/2)*AQ157*AT157*VLOOKUP('Données projet'!$B$10,Paramètres!$A$1:$I$89,3,0)*0.475*44/12</f>
        <v>5.0313622451646775E-18</v>
      </c>
      <c r="AX157" s="21">
        <f t="shared" si="166"/>
        <v>0.67225592498641573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3.5470293369144201E-14</v>
      </c>
      <c r="BF157" s="13">
        <f t="shared" si="167"/>
        <v>6.0119115841663204E-13</v>
      </c>
      <c r="BG157" s="20">
        <f t="shared" si="168"/>
        <v>1.1088520285268936E-12</v>
      </c>
      <c r="BH157" s="59">
        <f t="shared" si="116"/>
        <v>293.33333333333445</v>
      </c>
      <c r="BI157" s="59">
        <f ca="1">AVERAGE(OFFSET($BH$3,0,0,'Données projet'!$E$11+1,1))-AVERAGE(OFFSET($H$3,0,0,'Données projet'!$E$11+1,1))</f>
        <v>162.91481796710048</v>
      </c>
      <c r="BJ157" s="59">
        <f t="shared" si="146"/>
        <v>182.56192390367823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0.23864149066026052</v>
      </c>
      <c r="BQ157" s="21">
        <f>EXP(-LN(2)/25)*BQ156+(1-EXP(-LN(2)/25))/(LN(2)/25)*Calculateur!BL157*Calculateur!BN157*VLOOKUP('Données projet'!$B$11,Paramètres!$A$1:$I$89,3,0)*0.475*44/12</f>
        <v>0.49087930097206722</v>
      </c>
      <c r="BR157" s="21">
        <f>EXP(-LN(2)/2)*BR156+(1-EXP(-LN(2)/2))/(LN(2)/2)*BL157*BO157*VLOOKUP('Données projet'!$B$11,Paramètres!$A$1:$I$89,3,0)*0.475*44/12</f>
        <v>3.8965608963520028E-18</v>
      </c>
      <c r="BS157" s="22">
        <f t="shared" si="169"/>
        <v>0.72952079163232775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-5.3205440053716299E-14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123.60520571614535</v>
      </c>
      <c r="CE157" s="59">
        <f t="shared" si="148"/>
        <v>119.00926870519527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7.4415661261692898E-2</v>
      </c>
      <c r="CL157" s="21">
        <f>EXP(-LN(2)/25)*CL156+(1-EXP(-LN(2)/25))/(LN(2)/25)*Calculateur!CG157*Calculateur!CI157*VLOOKUP('Données projet'!$B$12,Paramètres!$A$1:$I$89,3,0)*0.475*44/12</f>
        <v>0.15347034860441369</v>
      </c>
      <c r="CM157" s="21">
        <f>EXP(-LN(2)/2)*CM156+(1-EXP(-LN(2)/2))/(LN(2)/2)*CG157*CJ157*VLOOKUP('Données projet'!$B$12,Paramètres!$A$1:$I$89,3,0)*0.475*44/12</f>
        <v>1.3256996392758232E-18</v>
      </c>
      <c r="CN157" s="22">
        <f t="shared" si="172"/>
        <v>0.22788600986610658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2.9706370696658272E-14</v>
      </c>
      <c r="CV157" s="13">
        <f t="shared" si="173"/>
        <v>5.1399863782592153E-13</v>
      </c>
      <c r="CW157" s="20">
        <f t="shared" si="174"/>
        <v>9.4695288984349312E-13</v>
      </c>
      <c r="CX157" s="59">
        <f t="shared" si="122"/>
        <v>293.33333333333428</v>
      </c>
      <c r="CY157" s="59">
        <f ca="1">AVERAGE(OFFSET($CX$3,0,0,'Données projet'!$E$13+1,1))-AVERAGE(OFFSET($H$3,0,0,'Données projet'!$E$13+1,1))</f>
        <v>177.94336949486529</v>
      </c>
      <c r="CZ157" s="59">
        <f t="shared" si="150"/>
        <v>65.559373432574603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3.3992364478763198E-14</v>
      </c>
      <c r="DQ157" s="13">
        <f t="shared" si="176"/>
        <v>5.790027782444094E-13</v>
      </c>
      <c r="DR157" s="20">
        <f t="shared" si="177"/>
        <v>1.0676332069095257E-12</v>
      </c>
      <c r="DS157" s="59">
        <f t="shared" si="125"/>
        <v>293.33333333333439</v>
      </c>
      <c r="DT157" s="59">
        <f ca="1">AVERAGE(OFFSET($DS$3,0,0,'Données projet'!$E$14+1,1))-AVERAGE(OFFSET($H$3,0,0,'Données projet'!$E$14+1,1))</f>
        <v>165.39579887388538</v>
      </c>
      <c r="DU157" s="59">
        <f t="shared" si="152"/>
        <v>155.89639262545802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0.234192929195634</v>
      </c>
      <c r="EC157" s="21">
        <f>EXP(-LN(2)/2)*EC156+(1-EXP(-LN(2)/2))/(LN(2)/2)*DW157*DZ157*VLOOKUP('Données projet'!$B$14,Paramètres!$A$1:$I$89,3,0)*0.475*44/12</f>
        <v>3.0097529796944254E-18</v>
      </c>
      <c r="ED157" s="22">
        <f t="shared" si="178"/>
        <v>0.234192929195634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-1.1368683772161603E-12</v>
      </c>
      <c r="EK157" s="17">
        <f>EJ157*VLOOKUP('Données projet'!$B$15,Paramètres!$A$1:$I$89,3,0)*VLOOKUP('Données projet'!$B$15,Paramètres!$A$1:$I$89,5,0)</f>
        <v>-5.4683368944097316E-13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252.30925789500111</v>
      </c>
      <c r="EP157" s="59">
        <f t="shared" si="154"/>
        <v>213.96033794804805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0.39746947681770378</v>
      </c>
      <c r="EW157" s="21">
        <f>EXP(-LN(2)/25)*EW156+(1-EXP(-LN(2)/25))/(LN(2)/25)*Calculateur!ER157*Calculateur!ET157*VLOOKUP('Données projet'!$B$15,Paramètres!$A$1:$I$89,3,0)*0.475*44/12</f>
        <v>0.29649536769426788</v>
      </c>
      <c r="EX157" s="21">
        <f>EXP(-LN(2)/2)*EX156+(1-EXP(-LN(2)/2))/(LN(2)/2)*ER157*EU157*VLOOKUP('Données projet'!$B$15,Paramètres!$A$1:$I$89,3,0)*0.475*44/12</f>
        <v>3.117631718521226E-18</v>
      </c>
      <c r="EY157" s="22">
        <f t="shared" si="181"/>
        <v>0.69396484451197171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-1.1368683772161603E-12</v>
      </c>
      <c r="FF157" s="17">
        <f>FE157*VLOOKUP('Données projet'!$B$16,Paramètres!$A$1:$I$89,3,0)*VLOOKUP('Données projet'!$B$16,Paramètres!$A$1:$I$89,5,0)</f>
        <v>-5.4683368944097316E-13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252.30925789500111</v>
      </c>
      <c r="FK157" s="59">
        <f t="shared" si="156"/>
        <v>213.96033794804805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0.39746947681770378</v>
      </c>
      <c r="FR157" s="21">
        <f>EXP(-LN(2)/25)*FR156+(1-EXP(-LN(2)/25))/(LN(2)/25)*Calculateur!FM157*Calculateur!FO157*VLOOKUP('Données projet'!$B$16,Paramètres!$A$1:$I$89,3,0)*0.475*44/12</f>
        <v>0.29649536769426788</v>
      </c>
      <c r="FS157" s="21">
        <f>EXP(-LN(2)/2)*FS156+(1-EXP(-LN(2)/2))/(LN(2)/2)*FM157*FP157*VLOOKUP('Données projet'!$B$16,Paramètres!$A$1:$I$89,3,0)*0.475*44/12</f>
        <v>3.117631718521226E-18</v>
      </c>
      <c r="FT157" s="22">
        <f t="shared" si="184"/>
        <v>0.69396484451197171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117.54638373164624</v>
      </c>
      <c r="GF157" s="59">
        <f t="shared" si="158"/>
        <v>133.0740262536583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0.18981804252276333</v>
      </c>
      <c r="GM157" s="21">
        <f>EXP(-LN(2)/25)*GM156+(1-EXP(-LN(2)/25))/(LN(2)/25)*Calculateur!GH157*Calculateur!GJ157*VLOOKUP('Données projet'!$B$17,Paramètres!$A$1:$I$89,3,0)*0.475*44/12</f>
        <v>0.27809159179189336</v>
      </c>
      <c r="GN157" s="21">
        <f>EXP(-LN(2)/2)*GN156+(1-EXP(-LN(2)/2))/(LN(2)/2)*GH157*GK157*VLOOKUP('Données projet'!$B$17,Paramètres!$A$1:$I$89,3,0)*0.475*44/12</f>
        <v>8.7723288066703362E-19</v>
      </c>
      <c r="GO157" s="21">
        <f t="shared" si="187"/>
        <v>0.46790963431465671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2.8421709430404007E-14</v>
      </c>
      <c r="GV157" s="17">
        <f>GU157*VLOOKUP('Données projet'!$B$18,Paramètres!$A$1:$I$89,3,0)*VLOOKUP('Données projet'!$B$18,Paramètres!$A$1:$I$89,5,0)</f>
        <v>1.3567387213697657E-14</v>
      </c>
      <c r="GW157" s="13">
        <f t="shared" si="188"/>
        <v>2.5717320947985821E-13</v>
      </c>
      <c r="GX157" s="20">
        <f t="shared" si="189"/>
        <v>4.7153987257460977E-13</v>
      </c>
      <c r="GY157" s="59">
        <f t="shared" si="137"/>
        <v>293.33333333333377</v>
      </c>
      <c r="GZ157" s="59">
        <f ca="1">AVERAGE(OFFSET($GY$3,0,0,'Données projet'!$E$18+1,1))-AVERAGE(OFFSET($H$3,0,0,'Données projet'!$E$18+1,1))</f>
        <v>43.147469606759159</v>
      </c>
      <c r="HA157" s="59">
        <f t="shared" si="160"/>
        <v>147.46995307968473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3.0941698505638704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1.1951799299297156E-19</v>
      </c>
      <c r="HJ157" s="22">
        <f t="shared" si="190"/>
        <v>3.0941698505638704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2.8421709430404007E-14</v>
      </c>
      <c r="O158" s="13">
        <f>N158*VLOOKUP('Données projet'!$B$9,Paramètres!$A$1:$I$89,3,0)*VLOOKUP('Données projet'!$B$9,Paramètres!$A$1:$I$89,5,0)</f>
        <v>2.5715962692629544E-14</v>
      </c>
      <c r="P158" s="13">
        <f t="shared" si="141"/>
        <v>4.5248818890525812E-13</v>
      </c>
      <c r="Q158" s="20">
        <f t="shared" si="162"/>
        <v>8.3287223069965432E-13</v>
      </c>
      <c r="R158" s="59">
        <f t="shared" si="109"/>
        <v>293.33333333333417</v>
      </c>
      <c r="S158" s="59">
        <f ca="1">AVERAGE(OFFSET($R$3,0,0,'Données projet'!$E$9+1,1))-AVERAGE(OFFSET($H$3,0,0,'Données projet'!$E$9+1,1))</f>
        <v>138.8931001150624</v>
      </c>
      <c r="T158" s="59">
        <f t="shared" si="142"/>
        <v>48.964659354096625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-7.4487616075202836E-14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191.94797389630673</v>
      </c>
      <c r="AO158" s="59">
        <f t="shared" si="144"/>
        <v>273.52540822767878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0.43900472026164106</v>
      </c>
      <c r="AW158" s="21">
        <f>EXP(-LN(2)/2)*AW157+(1-EXP(-LN(2)/2))/(LN(2)/2)*AQ158*AT158*VLOOKUP('Données projet'!$B$10,Paramètres!$A$1:$I$89,3,0)*0.475*44/12</f>
        <v>3.5577103621619159E-18</v>
      </c>
      <c r="AX158" s="21">
        <f t="shared" si="166"/>
        <v>0.65558192962849593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3.5470293369144201E-14</v>
      </c>
      <c r="BF158" s="13">
        <f t="shared" si="167"/>
        <v>6.0119115841663204E-13</v>
      </c>
      <c r="BG158" s="20">
        <f t="shared" si="168"/>
        <v>1.1088520285268936E-12</v>
      </c>
      <c r="BH158" s="59">
        <f t="shared" si="116"/>
        <v>293.33333333333445</v>
      </c>
      <c r="BI158" s="59">
        <f ca="1">AVERAGE(OFFSET($BH$3,0,0,'Données projet'!$E$11+1,1))-AVERAGE(OFFSET($H$3,0,0,'Données projet'!$E$11+1,1))</f>
        <v>162.91481796710048</v>
      </c>
      <c r="BJ158" s="59">
        <f t="shared" si="146"/>
        <v>182.56192390367823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0.23396187658534956</v>
      </c>
      <c r="BQ158" s="21">
        <f>EXP(-LN(2)/25)*BQ157+(1-EXP(-LN(2)/25))/(LN(2)/25)*Calculateur!BL158*Calculateur!BN158*VLOOKUP('Données projet'!$B$11,Paramètres!$A$1:$I$89,3,0)*0.475*44/12</f>
        <v>0.47745618067276552</v>
      </c>
      <c r="BR158" s="21">
        <f>EXP(-LN(2)/2)*BR157+(1-EXP(-LN(2)/2))/(LN(2)/2)*BL158*BO158*VLOOKUP('Données projet'!$B$11,Paramètres!$A$1:$I$89,3,0)*0.475*44/12</f>
        <v>2.7552846331168332E-18</v>
      </c>
      <c r="BS158" s="22">
        <f t="shared" si="169"/>
        <v>0.71141805725811502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-5.3205440053716299E-14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123.60520571614535</v>
      </c>
      <c r="CE158" s="59">
        <f t="shared" si="148"/>
        <v>119.00926870519527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7.2956415533422678E-2</v>
      </c>
      <c r="CL158" s="21">
        <f>EXP(-LN(2)/25)*CL157+(1-EXP(-LN(2)/25))/(LN(2)/25)*Calculateur!CG158*Calculateur!CI158*VLOOKUP('Données projet'!$B$12,Paramètres!$A$1:$I$89,3,0)*0.475*44/12</f>
        <v>0.14927369385117112</v>
      </c>
      <c r="CM158" s="21">
        <f>EXP(-LN(2)/2)*CM157+(1-EXP(-LN(2)/2))/(LN(2)/2)*CG158*CJ158*VLOOKUP('Données projet'!$B$12,Paramètres!$A$1:$I$89,3,0)*0.475*44/12</f>
        <v>9.3741120474849448E-19</v>
      </c>
      <c r="CN158" s="22">
        <f t="shared" si="172"/>
        <v>0.22223010938459381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2.9706370696658272E-14</v>
      </c>
      <c r="CV158" s="13">
        <f t="shared" si="173"/>
        <v>5.1399863782592153E-13</v>
      </c>
      <c r="CW158" s="20">
        <f t="shared" si="174"/>
        <v>9.4695288984349312E-13</v>
      </c>
      <c r="CX158" s="59">
        <f t="shared" si="122"/>
        <v>293.33333333333428</v>
      </c>
      <c r="CY158" s="59">
        <f ca="1">AVERAGE(OFFSET($CX$3,0,0,'Données projet'!$E$13+1,1))-AVERAGE(OFFSET($H$3,0,0,'Données projet'!$E$13+1,1))</f>
        <v>177.94336949486529</v>
      </c>
      <c r="CZ158" s="59">
        <f t="shared" si="150"/>
        <v>65.559373432574603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3.3992364478763198E-14</v>
      </c>
      <c r="DQ158" s="13">
        <f t="shared" si="176"/>
        <v>5.790027782444094E-13</v>
      </c>
      <c r="DR158" s="20">
        <f t="shared" si="177"/>
        <v>1.0676332069095257E-12</v>
      </c>
      <c r="DS158" s="59">
        <f t="shared" si="125"/>
        <v>293.33333333333439</v>
      </c>
      <c r="DT158" s="59">
        <f ca="1">AVERAGE(OFFSET($DS$3,0,0,'Données projet'!$E$14+1,1))-AVERAGE(OFFSET($H$3,0,0,'Données projet'!$E$14+1,1))</f>
        <v>165.39579887388538</v>
      </c>
      <c r="DU158" s="59">
        <f t="shared" si="152"/>
        <v>155.89639262545802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0.2277889112311085</v>
      </c>
      <c r="EC158" s="21">
        <f>EXP(-LN(2)/2)*EC157+(1-EXP(-LN(2)/2))/(LN(2)/2)*DW158*DZ158*VLOOKUP('Données projet'!$B$14,Paramètres!$A$1:$I$89,3,0)*0.475*44/12</f>
        <v>2.1282167416383455E-18</v>
      </c>
      <c r="ED158" s="22">
        <f t="shared" si="178"/>
        <v>0.2277889112311085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-1.1368683772161603E-12</v>
      </c>
      <c r="EK158" s="17">
        <f>EJ158*VLOOKUP('Données projet'!$B$15,Paramètres!$A$1:$I$89,3,0)*VLOOKUP('Données projet'!$B$15,Paramètres!$A$1:$I$89,5,0)</f>
        <v>-5.4683368944097316E-13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252.30925789500111</v>
      </c>
      <c r="EP158" s="59">
        <f t="shared" si="154"/>
        <v>213.96033794804805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0.38967534280975125</v>
      </c>
      <c r="EW158" s="21">
        <f>EXP(-LN(2)/25)*EW157+(1-EXP(-LN(2)/25))/(LN(2)/25)*Calculateur!ER158*Calculateur!ET158*VLOOKUP('Données projet'!$B$15,Paramètres!$A$1:$I$89,3,0)*0.475*44/12</f>
        <v>0.28838768627265438</v>
      </c>
      <c r="EX158" s="21">
        <f>EXP(-LN(2)/2)*EX157+(1-EXP(-LN(2)/2))/(LN(2)/2)*ER158*EU158*VLOOKUP('Données projet'!$B$15,Paramètres!$A$1:$I$89,3,0)*0.475*44/12</f>
        <v>2.2044985294086287E-18</v>
      </c>
      <c r="EY158" s="22">
        <f t="shared" si="181"/>
        <v>0.67806302908240568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-1.1368683772161603E-12</v>
      </c>
      <c r="FF158" s="17">
        <f>FE158*VLOOKUP('Données projet'!$B$16,Paramètres!$A$1:$I$89,3,0)*VLOOKUP('Données projet'!$B$16,Paramètres!$A$1:$I$89,5,0)</f>
        <v>-5.4683368944097316E-13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252.30925789500111</v>
      </c>
      <c r="FK158" s="59">
        <f t="shared" si="156"/>
        <v>213.96033794804805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0.38967534280975125</v>
      </c>
      <c r="FR158" s="21">
        <f>EXP(-LN(2)/25)*FR157+(1-EXP(-LN(2)/25))/(LN(2)/25)*Calculateur!FM158*Calculateur!FO158*VLOOKUP('Données projet'!$B$16,Paramètres!$A$1:$I$89,3,0)*0.475*44/12</f>
        <v>0.28838768627265438</v>
      </c>
      <c r="FS158" s="21">
        <f>EXP(-LN(2)/2)*FS157+(1-EXP(-LN(2)/2))/(LN(2)/2)*FM158*FP158*VLOOKUP('Données projet'!$B$16,Paramètres!$A$1:$I$89,3,0)*0.475*44/12</f>
        <v>2.2044985294086287E-18</v>
      </c>
      <c r="FT158" s="22">
        <f t="shared" si="184"/>
        <v>0.67806302908240568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117.54638373164624</v>
      </c>
      <c r="GF158" s="59">
        <f t="shared" si="158"/>
        <v>133.0740262536583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0.18609582648646578</v>
      </c>
      <c r="GM158" s="21">
        <f>EXP(-LN(2)/25)*GM157+(1-EXP(-LN(2)/25))/(LN(2)/25)*Calculateur!GH158*Calculateur!GJ158*VLOOKUP('Données projet'!$B$17,Paramètres!$A$1:$I$89,3,0)*0.475*44/12</f>
        <v>0.27048716259014283</v>
      </c>
      <c r="GN158" s="21">
        <f>EXP(-LN(2)/2)*GN157+(1-EXP(-LN(2)/2))/(LN(2)/2)*GH158*GK158*VLOOKUP('Données projet'!$B$17,Paramètres!$A$1:$I$89,3,0)*0.475*44/12</f>
        <v>6.2029731859946891E-19</v>
      </c>
      <c r="GO158" s="21">
        <f t="shared" si="187"/>
        <v>0.4565829890766086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2.8421709430404007E-14</v>
      </c>
      <c r="GV158" s="17">
        <f>GU158*VLOOKUP('Données projet'!$B$18,Paramètres!$A$1:$I$89,3,0)*VLOOKUP('Données projet'!$B$18,Paramètres!$A$1:$I$89,5,0)</f>
        <v>1.3567387213697657E-14</v>
      </c>
      <c r="GW158" s="13">
        <f t="shared" si="188"/>
        <v>2.5717320947985821E-13</v>
      </c>
      <c r="GX158" s="20">
        <f t="shared" si="189"/>
        <v>4.7153987257460977E-13</v>
      </c>
      <c r="GY158" s="59">
        <f t="shared" si="137"/>
        <v>293.33333333333377</v>
      </c>
      <c r="GZ158" s="59">
        <f ca="1">AVERAGE(OFFSET($GY$3,0,0,'Données projet'!$E$18+1,1))-AVERAGE(OFFSET($H$3,0,0,'Données projet'!$E$18+1,1))</f>
        <v>43.147469606759159</v>
      </c>
      <c r="HA158" s="59">
        <f t="shared" si="160"/>
        <v>147.46995307968473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3.0334950670515703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8.4511983319136461E-20</v>
      </c>
      <c r="HJ158" s="22">
        <f t="shared" si="190"/>
        <v>3.0334950670515703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2.8421709430404007E-14</v>
      </c>
      <c r="O159" s="13">
        <f>N159*VLOOKUP('Données projet'!$B$9,Paramètres!$A$1:$I$89,3,0)*VLOOKUP('Données projet'!$B$9,Paramètres!$A$1:$I$89,5,0)</f>
        <v>2.5715962692629544E-14</v>
      </c>
      <c r="P159" s="13">
        <f t="shared" si="141"/>
        <v>4.5248818890525812E-13</v>
      </c>
      <c r="Q159" s="20">
        <f t="shared" si="162"/>
        <v>8.3287223069965432E-13</v>
      </c>
      <c r="R159" s="59">
        <f t="shared" si="109"/>
        <v>293.33333333333417</v>
      </c>
      <c r="S159" s="59">
        <f ca="1">AVERAGE(OFFSET($R$3,0,0,'Données projet'!$E$9+1,1))-AVERAGE(OFFSET($H$3,0,0,'Données projet'!$E$9+1,1))</f>
        <v>138.8931001150624</v>
      </c>
      <c r="T159" s="59">
        <f t="shared" si="142"/>
        <v>48.964659354096625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-7.4487616075202836E-14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191.94797389630673</v>
      </c>
      <c r="AO159" s="59">
        <f t="shared" si="144"/>
        <v>273.52540822767878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0.4270001130998316</v>
      </c>
      <c r="AW159" s="21">
        <f>EXP(-LN(2)/2)*AW158+(1-EXP(-LN(2)/2))/(LN(2)/2)*AQ159*AT159*VLOOKUP('Données projet'!$B$10,Paramètres!$A$1:$I$89,3,0)*0.475*44/12</f>
        <v>2.5156811225823387E-18</v>
      </c>
      <c r="AX159" s="21">
        <f t="shared" si="166"/>
        <v>0.63933037549005645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3.5470293369144201E-14</v>
      </c>
      <c r="BF159" s="13">
        <f t="shared" si="167"/>
        <v>6.0119115841663204E-13</v>
      </c>
      <c r="BG159" s="20">
        <f t="shared" si="168"/>
        <v>1.1088520285268936E-12</v>
      </c>
      <c r="BH159" s="59">
        <f t="shared" si="116"/>
        <v>293.33333333333445</v>
      </c>
      <c r="BI159" s="59">
        <f ca="1">AVERAGE(OFFSET($BH$3,0,0,'Données projet'!$E$11+1,1))-AVERAGE(OFFSET($H$3,0,0,'Données projet'!$E$11+1,1))</f>
        <v>162.91481796710048</v>
      </c>
      <c r="BJ159" s="59">
        <f t="shared" si="146"/>
        <v>182.56192390367823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0.22937402688816486</v>
      </c>
      <c r="BQ159" s="21">
        <f>EXP(-LN(2)/25)*BQ158+(1-EXP(-LN(2)/25))/(LN(2)/25)*Calculateur!BL159*Calculateur!BN159*VLOOKUP('Données projet'!$B$11,Paramètres!$A$1:$I$89,3,0)*0.475*44/12</f>
        <v>0.46440011630393946</v>
      </c>
      <c r="BR159" s="21">
        <f>EXP(-LN(2)/2)*BR158+(1-EXP(-LN(2)/2))/(LN(2)/2)*BL159*BO159*VLOOKUP('Données projet'!$B$11,Paramètres!$A$1:$I$89,3,0)*0.475*44/12</f>
        <v>1.9482804481760014E-18</v>
      </c>
      <c r="BS159" s="22">
        <f t="shared" si="169"/>
        <v>0.69377414319210429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-5.3205440053716299E-14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123.60520571614535</v>
      </c>
      <c r="CE159" s="59">
        <f t="shared" si="148"/>
        <v>119.00926870519527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7.1525784723831823E-2</v>
      </c>
      <c r="CL159" s="21">
        <f>EXP(-LN(2)/25)*CL158+(1-EXP(-LN(2)/25))/(LN(2)/25)*Calculateur!CG159*Calculateur!CI159*VLOOKUP('Données projet'!$B$12,Paramètres!$A$1:$I$89,3,0)*0.475*44/12</f>
        <v>0.14519179684284844</v>
      </c>
      <c r="CM159" s="21">
        <f>EXP(-LN(2)/2)*CM158+(1-EXP(-LN(2)/2))/(LN(2)/2)*CG159*CJ159*VLOOKUP('Données projet'!$B$12,Paramètres!$A$1:$I$89,3,0)*0.475*44/12</f>
        <v>6.628498196379116E-19</v>
      </c>
      <c r="CN159" s="22">
        <f t="shared" si="172"/>
        <v>0.21671758156668025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2.9706370696658272E-14</v>
      </c>
      <c r="CV159" s="13">
        <f t="shared" si="173"/>
        <v>5.1399863782592153E-13</v>
      </c>
      <c r="CW159" s="20">
        <f t="shared" si="174"/>
        <v>9.4695288984349312E-13</v>
      </c>
      <c r="CX159" s="59">
        <f t="shared" si="122"/>
        <v>293.33333333333428</v>
      </c>
      <c r="CY159" s="59">
        <f ca="1">AVERAGE(OFFSET($CX$3,0,0,'Données projet'!$E$13+1,1))-AVERAGE(OFFSET($H$3,0,0,'Données projet'!$E$13+1,1))</f>
        <v>177.94336949486529</v>
      </c>
      <c r="CZ159" s="59">
        <f t="shared" si="150"/>
        <v>65.559373432574603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3.3992364478763198E-14</v>
      </c>
      <c r="DQ159" s="13">
        <f t="shared" si="176"/>
        <v>5.790027782444094E-13</v>
      </c>
      <c r="DR159" s="20">
        <f t="shared" si="177"/>
        <v>1.0676332069095257E-12</v>
      </c>
      <c r="DS159" s="59">
        <f t="shared" si="125"/>
        <v>293.33333333333439</v>
      </c>
      <c r="DT159" s="59">
        <f ca="1">AVERAGE(OFFSET($DS$3,0,0,'Données projet'!$E$14+1,1))-AVERAGE(OFFSET($H$3,0,0,'Données projet'!$E$14+1,1))</f>
        <v>165.39579887388538</v>
      </c>
      <c r="DU159" s="59">
        <f t="shared" si="152"/>
        <v>155.89639262545802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0.22156001147459561</v>
      </c>
      <c r="EC159" s="21">
        <f>EXP(-LN(2)/2)*EC158+(1-EXP(-LN(2)/2))/(LN(2)/2)*DW159*DZ159*VLOOKUP('Données projet'!$B$14,Paramètres!$A$1:$I$89,3,0)*0.475*44/12</f>
        <v>1.5048764898472127E-18</v>
      </c>
      <c r="ED159" s="22">
        <f t="shared" si="178"/>
        <v>0.22156001147459561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-1.1368683772161603E-12</v>
      </c>
      <c r="EK159" s="17">
        <f>EJ159*VLOOKUP('Données projet'!$B$15,Paramètres!$A$1:$I$89,3,0)*VLOOKUP('Données projet'!$B$15,Paramètres!$A$1:$I$89,5,0)</f>
        <v>-5.4683368944097316E-13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252.30925789500111</v>
      </c>
      <c r="EP159" s="59">
        <f t="shared" si="154"/>
        <v>213.96033794804805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0.38203404701574234</v>
      </c>
      <c r="EW159" s="21">
        <f>EXP(-LN(2)/25)*EW158+(1-EXP(-LN(2)/25))/(LN(2)/25)*Calculateur!ER159*Calculateur!ET159*VLOOKUP('Données projet'!$B$15,Paramètres!$A$1:$I$89,3,0)*0.475*44/12</f>
        <v>0.28050170982587935</v>
      </c>
      <c r="EX159" s="21">
        <f>EXP(-LN(2)/2)*EX158+(1-EXP(-LN(2)/2))/(LN(2)/2)*ER159*EU159*VLOOKUP('Données projet'!$B$15,Paramètres!$A$1:$I$89,3,0)*0.475*44/12</f>
        <v>1.558815859260613E-18</v>
      </c>
      <c r="EY159" s="22">
        <f t="shared" si="181"/>
        <v>0.66253575684162169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-1.1368683772161603E-12</v>
      </c>
      <c r="FF159" s="17">
        <f>FE159*VLOOKUP('Données projet'!$B$16,Paramètres!$A$1:$I$89,3,0)*VLOOKUP('Données projet'!$B$16,Paramètres!$A$1:$I$89,5,0)</f>
        <v>-5.4683368944097316E-13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252.30925789500111</v>
      </c>
      <c r="FK159" s="59">
        <f t="shared" si="156"/>
        <v>213.96033794804805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0.38203404701574234</v>
      </c>
      <c r="FR159" s="21">
        <f>EXP(-LN(2)/25)*FR158+(1-EXP(-LN(2)/25))/(LN(2)/25)*Calculateur!FM159*Calculateur!FO159*VLOOKUP('Données projet'!$B$16,Paramètres!$A$1:$I$89,3,0)*0.475*44/12</f>
        <v>0.28050170982587935</v>
      </c>
      <c r="FS159" s="21">
        <f>EXP(-LN(2)/2)*FS158+(1-EXP(-LN(2)/2))/(LN(2)/2)*FM159*FP159*VLOOKUP('Données projet'!$B$16,Paramètres!$A$1:$I$89,3,0)*0.475*44/12</f>
        <v>1.558815859260613E-18</v>
      </c>
      <c r="FT159" s="22">
        <f t="shared" si="184"/>
        <v>0.66253575684162169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117.54638373164624</v>
      </c>
      <c r="GF159" s="59">
        <f t="shared" si="158"/>
        <v>133.0740262536583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0.18244660083631242</v>
      </c>
      <c r="GM159" s="21">
        <f>EXP(-LN(2)/25)*GM158+(1-EXP(-LN(2)/25))/(LN(2)/25)*Calculateur!GH159*Calculateur!GJ159*VLOOKUP('Données projet'!$B$17,Paramètres!$A$1:$I$89,3,0)*0.475*44/12</f>
        <v>0.26309067690481369</v>
      </c>
      <c r="GN159" s="21">
        <f>EXP(-LN(2)/2)*GN158+(1-EXP(-LN(2)/2))/(LN(2)/2)*GH159*GK159*VLOOKUP('Données projet'!$B$17,Paramètres!$A$1:$I$89,3,0)*0.475*44/12</f>
        <v>4.3861644033351681E-19</v>
      </c>
      <c r="GO159" s="21">
        <f t="shared" si="187"/>
        <v>0.44553727774112611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2.8421709430404007E-14</v>
      </c>
      <c r="GV159" s="17">
        <f>GU159*VLOOKUP('Données projet'!$B$18,Paramètres!$A$1:$I$89,3,0)*VLOOKUP('Données projet'!$B$18,Paramètres!$A$1:$I$89,5,0)</f>
        <v>1.3567387213697657E-14</v>
      </c>
      <c r="GW159" s="13">
        <f t="shared" si="188"/>
        <v>2.5717320947985821E-13</v>
      </c>
      <c r="GX159" s="20">
        <f t="shared" si="189"/>
        <v>4.7153987257460977E-13</v>
      </c>
      <c r="GY159" s="59">
        <f t="shared" si="137"/>
        <v>293.33333333333377</v>
      </c>
      <c r="GZ159" s="59">
        <f ca="1">AVERAGE(OFFSET($GY$3,0,0,'Données projet'!$E$18+1,1))-AVERAGE(OFFSET($H$3,0,0,'Données projet'!$E$18+1,1))</f>
        <v>43.147469606759159</v>
      </c>
      <c r="HA159" s="59">
        <f t="shared" si="160"/>
        <v>147.46995307968473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2.9740100790359829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5.9758996496485778E-20</v>
      </c>
      <c r="HJ159" s="22">
        <f t="shared" si="190"/>
        <v>2.9740100790359829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2.8421709430404007E-14</v>
      </c>
      <c r="O160" s="13">
        <f>N160*VLOOKUP('Données projet'!$B$9,Paramètres!$A$1:$I$89,3,0)*VLOOKUP('Données projet'!$B$9,Paramètres!$A$1:$I$89,5,0)</f>
        <v>2.5715962692629544E-14</v>
      </c>
      <c r="P160" s="13">
        <f t="shared" si="141"/>
        <v>4.5248818890525812E-13</v>
      </c>
      <c r="Q160" s="20">
        <f t="shared" si="162"/>
        <v>8.3287223069965432E-13</v>
      </c>
      <c r="R160" s="59">
        <f t="shared" si="109"/>
        <v>293.33333333333417</v>
      </c>
      <c r="S160" s="59">
        <f ca="1">AVERAGE(OFFSET($R$3,0,0,'Données projet'!$E$9+1,1))-AVERAGE(OFFSET($H$3,0,0,'Données projet'!$E$9+1,1))</f>
        <v>138.8931001150624</v>
      </c>
      <c r="T160" s="59">
        <f t="shared" si="142"/>
        <v>48.964659354096625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-7.4487616075202836E-14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191.94797389630673</v>
      </c>
      <c r="AO160" s="59">
        <f t="shared" si="144"/>
        <v>273.52540822767878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0.41532377255215669</v>
      </c>
      <c r="AW160" s="21">
        <f>EXP(-LN(2)/2)*AW159+(1-EXP(-LN(2)/2))/(LN(2)/2)*AQ160*AT160*VLOOKUP('Données projet'!$B$10,Paramètres!$A$1:$I$89,3,0)*0.475*44/12</f>
        <v>1.778855181080958E-18</v>
      </c>
      <c r="AX160" s="21">
        <f t="shared" si="166"/>
        <v>0.62349036800558133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3.5470293369144201E-14</v>
      </c>
      <c r="BF160" s="13">
        <f t="shared" si="167"/>
        <v>6.0119115841663204E-13</v>
      </c>
      <c r="BG160" s="20">
        <f t="shared" si="168"/>
        <v>1.1088520285268936E-12</v>
      </c>
      <c r="BH160" s="59">
        <f t="shared" si="116"/>
        <v>293.33333333333445</v>
      </c>
      <c r="BI160" s="59">
        <f ca="1">AVERAGE(OFFSET($BH$3,0,0,'Données projet'!$E$11+1,1))-AVERAGE(OFFSET($H$3,0,0,'Données projet'!$E$11+1,1))</f>
        <v>162.91481796710048</v>
      </c>
      <c r="BJ160" s="59">
        <f t="shared" si="146"/>
        <v>182.56192390367823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0.22487614212522994</v>
      </c>
      <c r="BQ160" s="21">
        <f>EXP(-LN(2)/25)*BQ159+(1-EXP(-LN(2)/25))/(LN(2)/25)*Calculateur!BL160*Calculateur!BN160*VLOOKUP('Données projet'!$B$11,Paramètres!$A$1:$I$89,3,0)*0.475*44/12</f>
        <v>0.45170107070186749</v>
      </c>
      <c r="BR160" s="21">
        <f>EXP(-LN(2)/2)*BR159+(1-EXP(-LN(2)/2))/(LN(2)/2)*BL160*BO160*VLOOKUP('Données projet'!$B$11,Paramètres!$A$1:$I$89,3,0)*0.475*44/12</f>
        <v>1.3776423165584166E-18</v>
      </c>
      <c r="BS160" s="22">
        <f t="shared" si="169"/>
        <v>0.67657721282709749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-5.3205440053716299E-14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123.60520571614535</v>
      </c>
      <c r="CE160" s="59">
        <f t="shared" si="148"/>
        <v>119.00926870519527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7.0123207711818417E-2</v>
      </c>
      <c r="CL160" s="21">
        <f>EXP(-LN(2)/25)*CL159+(1-EXP(-LN(2)/25))/(LN(2)/25)*Calculateur!CG160*Calculateur!CI160*VLOOKUP('Données projet'!$B$12,Paramètres!$A$1:$I$89,3,0)*0.475*44/12</f>
        <v>0.14122151952287598</v>
      </c>
      <c r="CM160" s="21">
        <f>EXP(-LN(2)/2)*CM159+(1-EXP(-LN(2)/2))/(LN(2)/2)*CG160*CJ160*VLOOKUP('Données projet'!$B$12,Paramètres!$A$1:$I$89,3,0)*0.475*44/12</f>
        <v>4.6870560237424724E-19</v>
      </c>
      <c r="CN160" s="22">
        <f t="shared" si="172"/>
        <v>0.21134472723469439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2.9706370696658272E-14</v>
      </c>
      <c r="CV160" s="13">
        <f t="shared" si="173"/>
        <v>5.1399863782592153E-13</v>
      </c>
      <c r="CW160" s="20">
        <f t="shared" si="174"/>
        <v>9.4695288984349312E-13</v>
      </c>
      <c r="CX160" s="59">
        <f t="shared" si="122"/>
        <v>293.33333333333428</v>
      </c>
      <c r="CY160" s="59">
        <f ca="1">AVERAGE(OFFSET($CX$3,0,0,'Données projet'!$E$13+1,1))-AVERAGE(OFFSET($H$3,0,0,'Données projet'!$E$13+1,1))</f>
        <v>177.94336949486529</v>
      </c>
      <c r="CZ160" s="59">
        <f t="shared" si="150"/>
        <v>65.559373432574603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3.3992364478763198E-14</v>
      </c>
      <c r="DQ160" s="13">
        <f t="shared" si="176"/>
        <v>5.790027782444094E-13</v>
      </c>
      <c r="DR160" s="20">
        <f t="shared" si="177"/>
        <v>1.0676332069095257E-12</v>
      </c>
      <c r="DS160" s="59">
        <f t="shared" si="125"/>
        <v>293.33333333333439</v>
      </c>
      <c r="DT160" s="59">
        <f ca="1">AVERAGE(OFFSET($DS$3,0,0,'Données projet'!$E$14+1,1))-AVERAGE(OFFSET($H$3,0,0,'Données projet'!$E$14+1,1))</f>
        <v>165.39579887388538</v>
      </c>
      <c r="DU160" s="59">
        <f t="shared" si="152"/>
        <v>155.89639262545802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0.21550144130948817</v>
      </c>
      <c r="EC160" s="21">
        <f>EXP(-LN(2)/2)*EC159+(1-EXP(-LN(2)/2))/(LN(2)/2)*DW160*DZ160*VLOOKUP('Données projet'!$B$14,Paramètres!$A$1:$I$89,3,0)*0.475*44/12</f>
        <v>1.0641083708191727E-18</v>
      </c>
      <c r="ED160" s="22">
        <f t="shared" si="178"/>
        <v>0.21550144130948817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-1.1368683772161603E-12</v>
      </c>
      <c r="EK160" s="17">
        <f>EJ160*VLOOKUP('Données projet'!$B$15,Paramètres!$A$1:$I$89,3,0)*VLOOKUP('Données projet'!$B$15,Paramètres!$A$1:$I$89,5,0)</f>
        <v>-5.4683368944097316E-13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252.30925789500111</v>
      </c>
      <c r="EP160" s="59">
        <f t="shared" si="154"/>
        <v>213.96033794804805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0.37454259237152371</v>
      </c>
      <c r="EW160" s="21">
        <f>EXP(-LN(2)/25)*EW159+(1-EXP(-LN(2)/25))/(LN(2)/25)*Calculateur!ER160*Calculateur!ET160*VLOOKUP('Données projet'!$B$15,Paramètres!$A$1:$I$89,3,0)*0.475*44/12</f>
        <v>0.27283137581974687</v>
      </c>
      <c r="EX160" s="21">
        <f>EXP(-LN(2)/2)*EX159+(1-EXP(-LN(2)/2))/(LN(2)/2)*ER160*EU160*VLOOKUP('Données projet'!$B$15,Paramètres!$A$1:$I$89,3,0)*0.475*44/12</f>
        <v>1.1022492647043143E-18</v>
      </c>
      <c r="EY160" s="22">
        <f t="shared" si="181"/>
        <v>0.64737396819127058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-1.1368683772161603E-12</v>
      </c>
      <c r="FF160" s="17">
        <f>FE160*VLOOKUP('Données projet'!$B$16,Paramètres!$A$1:$I$89,3,0)*VLOOKUP('Données projet'!$B$16,Paramètres!$A$1:$I$89,5,0)</f>
        <v>-5.4683368944097316E-13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252.30925789500111</v>
      </c>
      <c r="FK160" s="59">
        <f t="shared" si="156"/>
        <v>213.96033794804805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0.37454259237152371</v>
      </c>
      <c r="FR160" s="21">
        <f>EXP(-LN(2)/25)*FR159+(1-EXP(-LN(2)/25))/(LN(2)/25)*Calculateur!FM160*Calculateur!FO160*VLOOKUP('Données projet'!$B$16,Paramètres!$A$1:$I$89,3,0)*0.475*44/12</f>
        <v>0.27283137581974687</v>
      </c>
      <c r="FS160" s="21">
        <f>EXP(-LN(2)/2)*FS159+(1-EXP(-LN(2)/2))/(LN(2)/2)*FM160*FP160*VLOOKUP('Données projet'!$B$16,Paramètres!$A$1:$I$89,3,0)*0.475*44/12</f>
        <v>1.1022492647043143E-18</v>
      </c>
      <c r="FT160" s="22">
        <f t="shared" si="184"/>
        <v>0.64737396819127058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117.54638373164624</v>
      </c>
      <c r="GF160" s="59">
        <f t="shared" si="158"/>
        <v>133.0740262536583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0.17886893427535072</v>
      </c>
      <c r="GM160" s="21">
        <f>EXP(-LN(2)/25)*GM159+(1-EXP(-LN(2)/25))/(LN(2)/25)*Calculateur!GH160*Calculateur!GJ160*VLOOKUP('Données projet'!$B$17,Paramètres!$A$1:$I$89,3,0)*0.475*44/12</f>
        <v>0.25589644850951415</v>
      </c>
      <c r="GN160" s="21">
        <f>EXP(-LN(2)/2)*GN159+(1-EXP(-LN(2)/2))/(LN(2)/2)*GH160*GK160*VLOOKUP('Données projet'!$B$17,Paramètres!$A$1:$I$89,3,0)*0.475*44/12</f>
        <v>3.1014865929973445E-19</v>
      </c>
      <c r="GO160" s="21">
        <f t="shared" si="187"/>
        <v>0.43476538278486487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2.8421709430404007E-14</v>
      </c>
      <c r="GV160" s="17">
        <f>GU160*VLOOKUP('Données projet'!$B$18,Paramètres!$A$1:$I$89,3,0)*VLOOKUP('Données projet'!$B$18,Paramètres!$A$1:$I$89,5,0)</f>
        <v>1.3567387213697657E-14</v>
      </c>
      <c r="GW160" s="13">
        <f t="shared" si="188"/>
        <v>2.5717320947985821E-13</v>
      </c>
      <c r="GX160" s="20">
        <f t="shared" si="189"/>
        <v>4.7153987257460977E-13</v>
      </c>
      <c r="GY160" s="59">
        <f t="shared" si="137"/>
        <v>293.33333333333377</v>
      </c>
      <c r="GZ160" s="59">
        <f ca="1">AVERAGE(OFFSET($GY$3,0,0,'Données projet'!$E$18+1,1))-AVERAGE(OFFSET($H$3,0,0,'Données projet'!$E$18+1,1))</f>
        <v>43.147469606759159</v>
      </c>
      <c r="HA160" s="59">
        <f t="shared" si="160"/>
        <v>147.46995307968473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2.9156915553531211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4.225599165956823E-20</v>
      </c>
      <c r="HJ160" s="22">
        <f t="shared" si="190"/>
        <v>2.9156915553531211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2.8421709430404007E-14</v>
      </c>
      <c r="O161" s="13">
        <f>N161*VLOOKUP('Données projet'!$B$9,Paramètres!$A$1:$I$89,3,0)*VLOOKUP('Données projet'!$B$9,Paramètres!$A$1:$I$89,5,0)</f>
        <v>2.5715962692629544E-14</v>
      </c>
      <c r="P161" s="13">
        <f t="shared" si="141"/>
        <v>4.5248818890525812E-13</v>
      </c>
      <c r="Q161" s="20">
        <f t="shared" si="162"/>
        <v>8.3287223069965432E-13</v>
      </c>
      <c r="R161" s="59">
        <f t="shared" si="109"/>
        <v>293.33333333333417</v>
      </c>
      <c r="S161" s="59">
        <f ca="1">AVERAGE(OFFSET($R$3,0,0,'Données projet'!$E$9+1,1))-AVERAGE(OFFSET($H$3,0,0,'Données projet'!$E$9+1,1))</f>
        <v>138.8931001150624</v>
      </c>
      <c r="T161" s="59">
        <f t="shared" si="142"/>
        <v>48.964659354096625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-7.4487616075202836E-14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191.94797389630673</v>
      </c>
      <c r="AO161" s="59">
        <f t="shared" si="144"/>
        <v>273.52540822767878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0.40396672215078999</v>
      </c>
      <c r="AW161" s="21">
        <f>EXP(-LN(2)/2)*AW160+(1-EXP(-LN(2)/2))/(LN(2)/2)*AQ161*AT161*VLOOKUP('Données projet'!$B$10,Paramètres!$A$1:$I$89,3,0)*0.475*44/12</f>
        <v>1.2578405612911694E-18</v>
      </c>
      <c r="AX161" s="21">
        <f t="shared" si="166"/>
        <v>0.60805129763645904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3.5470293369144201E-14</v>
      </c>
      <c r="BF161" s="13">
        <f t="shared" si="167"/>
        <v>6.0119115841663204E-13</v>
      </c>
      <c r="BG161" s="20">
        <f t="shared" si="168"/>
        <v>1.1088520285268936E-12</v>
      </c>
      <c r="BH161" s="59">
        <f t="shared" si="116"/>
        <v>293.33333333333445</v>
      </c>
      <c r="BI161" s="59">
        <f ca="1">AVERAGE(OFFSET($BH$3,0,0,'Données projet'!$E$11+1,1))-AVERAGE(OFFSET($H$3,0,0,'Données projet'!$E$11+1,1))</f>
        <v>162.91481796710048</v>
      </c>
      <c r="BJ161" s="59">
        <f t="shared" si="146"/>
        <v>182.56192390367823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0.22046645813905735</v>
      </c>
      <c r="BQ161" s="21">
        <f>EXP(-LN(2)/25)*BQ160+(1-EXP(-LN(2)/25))/(LN(2)/25)*Calculateur!BL161*Calculateur!BN161*VLOOKUP('Données projet'!$B$11,Paramètres!$A$1:$I$89,3,0)*0.475*44/12</f>
        <v>0.43934928116959798</v>
      </c>
      <c r="BR161" s="21">
        <f>EXP(-LN(2)/2)*BR160+(1-EXP(-LN(2)/2))/(LN(2)/2)*BL161*BO161*VLOOKUP('Données projet'!$B$11,Paramètres!$A$1:$I$89,3,0)*0.475*44/12</f>
        <v>9.7414022408800069E-19</v>
      </c>
      <c r="BS161" s="22">
        <f t="shared" si="169"/>
        <v>0.65981573930865534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-5.3205440053716299E-14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123.60520571614535</v>
      </c>
      <c r="CE161" s="59">
        <f t="shared" si="148"/>
        <v>119.00926870519527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6.8748134379523082E-2</v>
      </c>
      <c r="CL161" s="21">
        <f>EXP(-LN(2)/25)*CL160+(1-EXP(-LN(2)/25))/(LN(2)/25)*Calculateur!CG161*Calculateur!CI161*VLOOKUP('Données projet'!$B$12,Paramètres!$A$1:$I$89,3,0)*0.475*44/12</f>
        <v>0.13735980964500599</v>
      </c>
      <c r="CM161" s="21">
        <f>EXP(-LN(2)/2)*CM160+(1-EXP(-LN(2)/2))/(LN(2)/2)*CG161*CJ161*VLOOKUP('Données projet'!$B$12,Paramètres!$A$1:$I$89,3,0)*0.475*44/12</f>
        <v>3.314249098189558E-19</v>
      </c>
      <c r="CN161" s="22">
        <f t="shared" si="172"/>
        <v>0.20610794402452909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2.9706370696658272E-14</v>
      </c>
      <c r="CV161" s="13">
        <f t="shared" si="173"/>
        <v>5.1399863782592153E-13</v>
      </c>
      <c r="CW161" s="20">
        <f t="shared" si="174"/>
        <v>9.4695288984349312E-13</v>
      </c>
      <c r="CX161" s="59">
        <f t="shared" si="122"/>
        <v>293.33333333333428</v>
      </c>
      <c r="CY161" s="59">
        <f ca="1">AVERAGE(OFFSET($CX$3,0,0,'Données projet'!$E$13+1,1))-AVERAGE(OFFSET($H$3,0,0,'Données projet'!$E$13+1,1))</f>
        <v>177.94336949486529</v>
      </c>
      <c r="CZ161" s="59">
        <f t="shared" si="150"/>
        <v>65.559373432574603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3.3992364478763198E-14</v>
      </c>
      <c r="DQ161" s="13">
        <f t="shared" si="176"/>
        <v>5.790027782444094E-13</v>
      </c>
      <c r="DR161" s="20">
        <f t="shared" si="177"/>
        <v>1.0676332069095257E-12</v>
      </c>
      <c r="DS161" s="59">
        <f t="shared" si="125"/>
        <v>293.33333333333439</v>
      </c>
      <c r="DT161" s="59">
        <f ca="1">AVERAGE(OFFSET($DS$3,0,0,'Données projet'!$E$14+1,1))-AVERAGE(OFFSET($H$3,0,0,'Données projet'!$E$14+1,1))</f>
        <v>165.39579887388538</v>
      </c>
      <c r="DU161" s="59">
        <f t="shared" si="152"/>
        <v>155.89639262545802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0.20960854306415194</v>
      </c>
      <c r="EC161" s="21">
        <f>EXP(-LN(2)/2)*EC160+(1-EXP(-LN(2)/2))/(LN(2)/2)*DW161*DZ161*VLOOKUP('Données projet'!$B$14,Paramètres!$A$1:$I$89,3,0)*0.475*44/12</f>
        <v>7.5243824492360636E-19</v>
      </c>
      <c r="ED161" s="22">
        <f t="shared" si="178"/>
        <v>0.20960854306415194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-1.1368683772161603E-12</v>
      </c>
      <c r="EK161" s="17">
        <f>EJ161*VLOOKUP('Données projet'!$B$15,Paramètres!$A$1:$I$89,3,0)*VLOOKUP('Données projet'!$B$15,Paramètres!$A$1:$I$89,5,0)</f>
        <v>-5.4683368944097316E-13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252.30925789500111</v>
      </c>
      <c r="EP161" s="59">
        <f t="shared" si="154"/>
        <v>213.96033794804805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0.36719804058354205</v>
      </c>
      <c r="EW161" s="21">
        <f>EXP(-LN(2)/25)*EW160+(1-EXP(-LN(2)/25))/(LN(2)/25)*Calculateur!ER161*Calculateur!ET161*VLOOKUP('Données projet'!$B$15,Paramètres!$A$1:$I$89,3,0)*0.475*44/12</f>
        <v>0.2653707875003774</v>
      </c>
      <c r="EX161" s="21">
        <f>EXP(-LN(2)/2)*EX160+(1-EXP(-LN(2)/2))/(LN(2)/2)*ER161*EU161*VLOOKUP('Données projet'!$B$15,Paramètres!$A$1:$I$89,3,0)*0.475*44/12</f>
        <v>7.7940792963030651E-19</v>
      </c>
      <c r="EY161" s="22">
        <f t="shared" si="181"/>
        <v>0.63256882808391945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-1.1368683772161603E-12</v>
      </c>
      <c r="FF161" s="17">
        <f>FE161*VLOOKUP('Données projet'!$B$16,Paramètres!$A$1:$I$89,3,0)*VLOOKUP('Données projet'!$B$16,Paramètres!$A$1:$I$89,5,0)</f>
        <v>-5.4683368944097316E-13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252.30925789500111</v>
      </c>
      <c r="FK161" s="59">
        <f t="shared" si="156"/>
        <v>213.96033794804805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0.36719804058354205</v>
      </c>
      <c r="FR161" s="21">
        <f>EXP(-LN(2)/25)*FR160+(1-EXP(-LN(2)/25))/(LN(2)/25)*Calculateur!FM161*Calculateur!FO161*VLOOKUP('Données projet'!$B$16,Paramètres!$A$1:$I$89,3,0)*0.475*44/12</f>
        <v>0.2653707875003774</v>
      </c>
      <c r="FS161" s="21">
        <f>EXP(-LN(2)/2)*FS160+(1-EXP(-LN(2)/2))/(LN(2)/2)*FM161*FP161*VLOOKUP('Données projet'!$B$16,Paramètres!$A$1:$I$89,3,0)*0.475*44/12</f>
        <v>7.7940792963030651E-19</v>
      </c>
      <c r="FT161" s="22">
        <f t="shared" si="184"/>
        <v>0.63256882808391945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117.54638373164624</v>
      </c>
      <c r="GF161" s="59">
        <f t="shared" si="158"/>
        <v>133.0740262536583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0.17536142357348836</v>
      </c>
      <c r="GM161" s="21">
        <f>EXP(-LN(2)/25)*GM160+(1-EXP(-LN(2)/25))/(LN(2)/25)*Calculateur!GH161*Calculateur!GJ161*VLOOKUP('Données projet'!$B$17,Paramètres!$A$1:$I$89,3,0)*0.475*44/12</f>
        <v>0.24889894666801213</v>
      </c>
      <c r="GN161" s="21">
        <f>EXP(-LN(2)/2)*GN160+(1-EXP(-LN(2)/2))/(LN(2)/2)*GH161*GK161*VLOOKUP('Données projet'!$B$17,Paramètres!$A$1:$I$89,3,0)*0.475*44/12</f>
        <v>2.1930822016675841E-19</v>
      </c>
      <c r="GO161" s="21">
        <f t="shared" si="187"/>
        <v>0.42426037024150048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2.8421709430404007E-14</v>
      </c>
      <c r="GV161" s="17">
        <f>GU161*VLOOKUP('Données projet'!$B$18,Paramètres!$A$1:$I$89,3,0)*VLOOKUP('Données projet'!$B$18,Paramètres!$A$1:$I$89,5,0)</f>
        <v>1.3567387213697657E-14</v>
      </c>
      <c r="GW161" s="13">
        <f t="shared" si="188"/>
        <v>2.5717320947985821E-13</v>
      </c>
      <c r="GX161" s="20">
        <f t="shared" si="189"/>
        <v>4.7153987257460977E-13</v>
      </c>
      <c r="GY161" s="59">
        <f t="shared" si="137"/>
        <v>293.33333333333377</v>
      </c>
      <c r="GZ161" s="59">
        <f ca="1">AVERAGE(OFFSET($GY$3,0,0,'Données projet'!$E$18+1,1))-AVERAGE(OFFSET($H$3,0,0,'Données projet'!$E$18+1,1))</f>
        <v>43.147469606759159</v>
      </c>
      <c r="HA161" s="59">
        <f t="shared" si="160"/>
        <v>147.46995307968473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2.8585166223488931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2.9879498248242889E-20</v>
      </c>
      <c r="HJ161" s="22">
        <f t="shared" si="190"/>
        <v>2.8585166223488931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2.8421709430404007E-14</v>
      </c>
      <c r="O162" s="13">
        <f>N162*VLOOKUP('Données projet'!$B$9,Paramètres!$A$1:$I$89,3,0)*VLOOKUP('Données projet'!$B$9,Paramètres!$A$1:$I$89,5,0)</f>
        <v>2.5715962692629544E-14</v>
      </c>
      <c r="P162" s="13">
        <f t="shared" si="141"/>
        <v>4.5248818890525812E-13</v>
      </c>
      <c r="Q162" s="20">
        <f t="shared" si="162"/>
        <v>8.3287223069965432E-13</v>
      </c>
      <c r="R162" s="59">
        <f t="shared" si="109"/>
        <v>293.33333333333417</v>
      </c>
      <c r="S162" s="59">
        <f ca="1">AVERAGE(OFFSET($R$3,0,0,'Données projet'!$E$9+1,1))-AVERAGE(OFFSET($H$3,0,0,'Données projet'!$E$9+1,1))</f>
        <v>138.8931001150624</v>
      </c>
      <c r="T162" s="59">
        <f t="shared" si="142"/>
        <v>48.964659354096625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-7.4487616075202836E-14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191.94797389630673</v>
      </c>
      <c r="AO162" s="59">
        <f t="shared" si="144"/>
        <v>273.52540822767878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0.39292023088988998</v>
      </c>
      <c r="AW162" s="21">
        <f>EXP(-LN(2)/2)*AW161+(1-EXP(-LN(2)/2))/(LN(2)/2)*AQ162*AT162*VLOOKUP('Données projet'!$B$10,Paramètres!$A$1:$I$89,3,0)*0.475*44/12</f>
        <v>8.8942759054047898E-19</v>
      </c>
      <c r="AX162" s="21">
        <f t="shared" si="166"/>
        <v>0.59300283232958484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3.5470293369144201E-14</v>
      </c>
      <c r="BF162" s="13">
        <f t="shared" si="167"/>
        <v>6.0119115841663204E-13</v>
      </c>
      <c r="BG162" s="20">
        <f t="shared" si="168"/>
        <v>1.1088520285268936E-12</v>
      </c>
      <c r="BH162" s="59">
        <f t="shared" si="116"/>
        <v>293.33333333333445</v>
      </c>
      <c r="BI162" s="59">
        <f ca="1">AVERAGE(OFFSET($BH$3,0,0,'Données projet'!$E$11+1,1))-AVERAGE(OFFSET($H$3,0,0,'Données projet'!$E$11+1,1))</f>
        <v>162.91481796710048</v>
      </c>
      <c r="BJ162" s="59">
        <f t="shared" si="146"/>
        <v>182.56192390367823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0.21614324536621196</v>
      </c>
      <c r="BQ162" s="21">
        <f>EXP(-LN(2)/25)*BQ161+(1-EXP(-LN(2)/25))/(LN(2)/25)*Calculateur!BL162*Calculateur!BN162*VLOOKUP('Données projet'!$B$11,Paramètres!$A$1:$I$89,3,0)*0.475*44/12</f>
        <v>0.42733525197164079</v>
      </c>
      <c r="BR162" s="21">
        <f>EXP(-LN(2)/2)*BR161+(1-EXP(-LN(2)/2))/(LN(2)/2)*BL162*BO162*VLOOKUP('Données projet'!$B$11,Paramètres!$A$1:$I$89,3,0)*0.475*44/12</f>
        <v>6.8882115827920829E-19</v>
      </c>
      <c r="BS162" s="22">
        <f t="shared" si="169"/>
        <v>0.64347849733785278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-5.3205440053716299E-14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123.60520571614535</v>
      </c>
      <c r="CE162" s="59">
        <f t="shared" si="148"/>
        <v>119.00926870519527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6.7400025396562147E-2</v>
      </c>
      <c r="CL162" s="21">
        <f>EXP(-LN(2)/25)*CL161+(1-EXP(-LN(2)/25))/(LN(2)/25)*Calculateur!CG162*Calculateur!CI162*VLOOKUP('Données projet'!$B$12,Paramètres!$A$1:$I$89,3,0)*0.475*44/12</f>
        <v>0.13360369842682485</v>
      </c>
      <c r="CM162" s="21">
        <f>EXP(-LN(2)/2)*CM161+(1-EXP(-LN(2)/2))/(LN(2)/2)*CG162*CJ162*VLOOKUP('Données projet'!$B$12,Paramètres!$A$1:$I$89,3,0)*0.475*44/12</f>
        <v>2.3435280118712362E-19</v>
      </c>
      <c r="CN162" s="22">
        <f t="shared" si="172"/>
        <v>0.20100372382338699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2.9706370696658272E-14</v>
      </c>
      <c r="CV162" s="13">
        <f t="shared" si="173"/>
        <v>5.1399863782592153E-13</v>
      </c>
      <c r="CW162" s="20">
        <f t="shared" si="174"/>
        <v>9.4695288984349312E-13</v>
      </c>
      <c r="CX162" s="59">
        <f t="shared" si="122"/>
        <v>293.33333333333428</v>
      </c>
      <c r="CY162" s="59">
        <f ca="1">AVERAGE(OFFSET($CX$3,0,0,'Données projet'!$E$13+1,1))-AVERAGE(OFFSET($H$3,0,0,'Données projet'!$E$13+1,1))</f>
        <v>177.94336949486529</v>
      </c>
      <c r="CZ162" s="59">
        <f t="shared" si="150"/>
        <v>65.559373432574603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3.3992364478763198E-14</v>
      </c>
      <c r="DQ162" s="13">
        <f t="shared" si="176"/>
        <v>5.790027782444094E-13</v>
      </c>
      <c r="DR162" s="20">
        <f t="shared" si="177"/>
        <v>1.0676332069095257E-12</v>
      </c>
      <c r="DS162" s="59">
        <f t="shared" si="125"/>
        <v>293.33333333333439</v>
      </c>
      <c r="DT162" s="59">
        <f ca="1">AVERAGE(OFFSET($DS$3,0,0,'Données projet'!$E$14+1,1))-AVERAGE(OFFSET($H$3,0,0,'Données projet'!$E$14+1,1))</f>
        <v>165.39579887388538</v>
      </c>
      <c r="DU162" s="59">
        <f t="shared" si="152"/>
        <v>155.89639262545802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0.2038767864312285</v>
      </c>
      <c r="EC162" s="21">
        <f>EXP(-LN(2)/2)*EC161+(1-EXP(-LN(2)/2))/(LN(2)/2)*DW162*DZ162*VLOOKUP('Données projet'!$B$14,Paramètres!$A$1:$I$89,3,0)*0.475*44/12</f>
        <v>5.3205418540958636E-19</v>
      </c>
      <c r="ED162" s="22">
        <f t="shared" si="178"/>
        <v>0.2038767864312285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-1.1368683772161603E-12</v>
      </c>
      <c r="EK162" s="17">
        <f>EJ162*VLOOKUP('Données projet'!$B$15,Paramètres!$A$1:$I$89,3,0)*VLOOKUP('Données projet'!$B$15,Paramètres!$A$1:$I$89,5,0)</f>
        <v>-5.4683368944097316E-13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252.30925789500111</v>
      </c>
      <c r="EP162" s="59">
        <f t="shared" si="154"/>
        <v>213.96033794804805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0.35999751097638849</v>
      </c>
      <c r="EW162" s="21">
        <f>EXP(-LN(2)/25)*EW161+(1-EXP(-LN(2)/25))/(LN(2)/25)*Calculateur!ER162*Calculateur!ET162*VLOOKUP('Données projet'!$B$15,Paramètres!$A$1:$I$89,3,0)*0.475*44/12</f>
        <v>0.25811420936093638</v>
      </c>
      <c r="EX162" s="21">
        <f>EXP(-LN(2)/2)*EX161+(1-EXP(-LN(2)/2))/(LN(2)/2)*ER162*EU162*VLOOKUP('Données projet'!$B$15,Paramètres!$A$1:$I$89,3,0)*0.475*44/12</f>
        <v>5.5112463235215717E-19</v>
      </c>
      <c r="EY162" s="22">
        <f t="shared" si="181"/>
        <v>0.61811172033732487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-1.1368683772161603E-12</v>
      </c>
      <c r="FF162" s="17">
        <f>FE162*VLOOKUP('Données projet'!$B$16,Paramètres!$A$1:$I$89,3,0)*VLOOKUP('Données projet'!$B$16,Paramètres!$A$1:$I$89,5,0)</f>
        <v>-5.4683368944097316E-13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252.30925789500111</v>
      </c>
      <c r="FK162" s="59">
        <f t="shared" si="156"/>
        <v>213.96033794804805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0.35999751097638849</v>
      </c>
      <c r="FR162" s="21">
        <f>EXP(-LN(2)/25)*FR161+(1-EXP(-LN(2)/25))/(LN(2)/25)*Calculateur!FM162*Calculateur!FO162*VLOOKUP('Données projet'!$B$16,Paramètres!$A$1:$I$89,3,0)*0.475*44/12</f>
        <v>0.25811420936093638</v>
      </c>
      <c r="FS162" s="21">
        <f>EXP(-LN(2)/2)*FS161+(1-EXP(-LN(2)/2))/(LN(2)/2)*FM162*FP162*VLOOKUP('Données projet'!$B$16,Paramètres!$A$1:$I$89,3,0)*0.475*44/12</f>
        <v>5.5112463235215717E-19</v>
      </c>
      <c r="FT162" s="22">
        <f t="shared" si="184"/>
        <v>0.61811172033732487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117.54638373164624</v>
      </c>
      <c r="GF162" s="59">
        <f t="shared" si="158"/>
        <v>133.0740262536583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0.17192269301711921</v>
      </c>
      <c r="GM162" s="21">
        <f>EXP(-LN(2)/25)*GM161+(1-EXP(-LN(2)/25))/(LN(2)/25)*Calculateur!GH162*Calculateur!GJ162*VLOOKUP('Données projet'!$B$17,Paramètres!$A$1:$I$89,3,0)*0.475*44/12</f>
        <v>0.24209279188234858</v>
      </c>
      <c r="GN162" s="21">
        <f>EXP(-LN(2)/2)*GN161+(1-EXP(-LN(2)/2))/(LN(2)/2)*GH162*GK162*VLOOKUP('Données projet'!$B$17,Paramètres!$A$1:$I$89,3,0)*0.475*44/12</f>
        <v>1.5507432964986723E-19</v>
      </c>
      <c r="GO162" s="21">
        <f t="shared" si="187"/>
        <v>0.41401548489946782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2.8421709430404007E-14</v>
      </c>
      <c r="GV162" s="17">
        <f>GU162*VLOOKUP('Données projet'!$B$18,Paramètres!$A$1:$I$89,3,0)*VLOOKUP('Données projet'!$B$18,Paramètres!$A$1:$I$89,5,0)</f>
        <v>1.3567387213697657E-14</v>
      </c>
      <c r="GW162" s="13">
        <f t="shared" si="188"/>
        <v>2.5717320947985821E-13</v>
      </c>
      <c r="GX162" s="20">
        <f t="shared" si="189"/>
        <v>4.7153987257460977E-13</v>
      </c>
      <c r="GY162" s="59">
        <f t="shared" si="137"/>
        <v>293.33333333333377</v>
      </c>
      <c r="GZ162" s="59">
        <f ca="1">AVERAGE(OFFSET($GY$3,0,0,'Données projet'!$E$18+1,1))-AVERAGE(OFFSET($H$3,0,0,'Données projet'!$E$18+1,1))</f>
        <v>43.147469606759159</v>
      </c>
      <c r="HA162" s="59">
        <f t="shared" si="160"/>
        <v>147.46995307968473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2.8024628549076125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2.1127995829784115E-20</v>
      </c>
      <c r="HJ162" s="22">
        <f t="shared" si="190"/>
        <v>2.8024628549076125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2.8421709430404007E-14</v>
      </c>
      <c r="O163" s="13">
        <f>N163*VLOOKUP('Données projet'!$B$9,Paramètres!$A$1:$I$89,3,0)*VLOOKUP('Données projet'!$B$9,Paramètres!$A$1:$I$89,5,0)</f>
        <v>2.5715962692629544E-14</v>
      </c>
      <c r="P163" s="13">
        <f t="shared" si="141"/>
        <v>4.5248818890525812E-13</v>
      </c>
      <c r="Q163" s="20">
        <f t="shared" si="162"/>
        <v>8.3287223069965432E-13</v>
      </c>
      <c r="R163" s="59">
        <f t="shared" si="109"/>
        <v>293.33333333333417</v>
      </c>
      <c r="S163" s="59">
        <f ca="1">AVERAGE(OFFSET($R$3,0,0,'Données projet'!$E$9+1,1))-AVERAGE(OFFSET($H$3,0,0,'Données projet'!$E$9+1,1))</f>
        <v>138.8931001150624</v>
      </c>
      <c r="T163" s="59">
        <f t="shared" si="142"/>
        <v>48.964659354096625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-7.4487616075202836E-14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191.94797389630673</v>
      </c>
      <c r="AO163" s="59">
        <f t="shared" si="144"/>
        <v>273.52540822767878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0.38217580651342903</v>
      </c>
      <c r="AW163" s="21">
        <f>EXP(-LN(2)/2)*AW162+(1-EXP(-LN(2)/2))/(LN(2)/2)*AQ163*AT163*VLOOKUP('Données projet'!$B$10,Paramètres!$A$1:$I$89,3,0)*0.475*44/12</f>
        <v>6.2892028064558468E-19</v>
      </c>
      <c r="AX163" s="21">
        <f t="shared" si="166"/>
        <v>0.57833491017722805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3.5470293369144201E-14</v>
      </c>
      <c r="BF163" s="13">
        <f t="shared" si="167"/>
        <v>6.0119115841663204E-13</v>
      </c>
      <c r="BG163" s="20">
        <f t="shared" si="168"/>
        <v>1.1088520285268936E-12</v>
      </c>
      <c r="BH163" s="59">
        <f t="shared" si="116"/>
        <v>293.33333333333445</v>
      </c>
      <c r="BI163" s="59">
        <f ca="1">AVERAGE(OFFSET($BH$3,0,0,'Données projet'!$E$11+1,1))-AVERAGE(OFFSET($H$3,0,0,'Données projet'!$E$11+1,1))</f>
        <v>162.91481796710048</v>
      </c>
      <c r="BJ163" s="59">
        <f t="shared" si="146"/>
        <v>182.56192390367823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0.21190480815894266</v>
      </c>
      <c r="BQ163" s="21">
        <f>EXP(-LN(2)/25)*BQ162+(1-EXP(-LN(2)/25))/(LN(2)/25)*Calculateur!BL163*Calculateur!BN163*VLOOKUP('Données projet'!$B$11,Paramètres!$A$1:$I$89,3,0)*0.475*44/12</f>
        <v>0.41564974703389207</v>
      </c>
      <c r="BR163" s="21">
        <f>EXP(-LN(2)/2)*BR162+(1-EXP(-LN(2)/2))/(LN(2)/2)*BL163*BO163*VLOOKUP('Données projet'!$B$11,Paramètres!$A$1:$I$89,3,0)*0.475*44/12</f>
        <v>4.8707011204400034E-19</v>
      </c>
      <c r="BS163" s="22">
        <f t="shared" si="169"/>
        <v>0.62755455519283476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-5.3205440053716299E-14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123.60520571614535</v>
      </c>
      <c r="CE163" s="59">
        <f t="shared" si="148"/>
        <v>119.00926870519527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6.6078352008491784E-2</v>
      </c>
      <c r="CL163" s="21">
        <f>EXP(-LN(2)/25)*CL162+(1-EXP(-LN(2)/25))/(LN(2)/25)*Calculateur!CG163*Calculateur!CI163*VLOOKUP('Données projet'!$B$12,Paramètres!$A$1:$I$89,3,0)*0.475*44/12</f>
        <v>0.12995029826743018</v>
      </c>
      <c r="CM163" s="21">
        <f>EXP(-LN(2)/2)*CM162+(1-EXP(-LN(2)/2))/(LN(2)/2)*CG163*CJ163*VLOOKUP('Données projet'!$B$12,Paramètres!$A$1:$I$89,3,0)*0.475*44/12</f>
        <v>1.657124549094779E-19</v>
      </c>
      <c r="CN163" s="22">
        <f t="shared" si="172"/>
        <v>0.19602865027592198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2.9706370696658272E-14</v>
      </c>
      <c r="CV163" s="13">
        <f t="shared" si="173"/>
        <v>5.1399863782592153E-13</v>
      </c>
      <c r="CW163" s="20">
        <f t="shared" si="174"/>
        <v>9.4695288984349312E-13</v>
      </c>
      <c r="CX163" s="59">
        <f t="shared" si="122"/>
        <v>293.33333333333428</v>
      </c>
      <c r="CY163" s="59">
        <f ca="1">AVERAGE(OFFSET($CX$3,0,0,'Données projet'!$E$13+1,1))-AVERAGE(OFFSET($H$3,0,0,'Données projet'!$E$13+1,1))</f>
        <v>177.94336949486529</v>
      </c>
      <c r="CZ163" s="59">
        <f t="shared" si="150"/>
        <v>65.559373432574603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3.3992364478763198E-14</v>
      </c>
      <c r="DQ163" s="13">
        <f t="shared" si="176"/>
        <v>5.790027782444094E-13</v>
      </c>
      <c r="DR163" s="20">
        <f t="shared" si="177"/>
        <v>1.0676332069095257E-12</v>
      </c>
      <c r="DS163" s="59">
        <f t="shared" si="125"/>
        <v>293.33333333333439</v>
      </c>
      <c r="DT163" s="59">
        <f ca="1">AVERAGE(OFFSET($DS$3,0,0,'Données projet'!$E$14+1,1))-AVERAGE(OFFSET($H$3,0,0,'Données projet'!$E$14+1,1))</f>
        <v>165.39579887388538</v>
      </c>
      <c r="DU163" s="59">
        <f t="shared" si="152"/>
        <v>155.89639262545802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0.19830176498485233</v>
      </c>
      <c r="EC163" s="21">
        <f>EXP(-LN(2)/2)*EC162+(1-EXP(-LN(2)/2))/(LN(2)/2)*DW163*DZ163*VLOOKUP('Données projet'!$B$14,Paramètres!$A$1:$I$89,3,0)*0.475*44/12</f>
        <v>3.7621912246180318E-19</v>
      </c>
      <c r="ED163" s="22">
        <f t="shared" si="178"/>
        <v>0.19830176498485233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-1.1368683772161603E-12</v>
      </c>
      <c r="EK163" s="17">
        <f>EJ163*VLOOKUP('Données projet'!$B$15,Paramètres!$A$1:$I$89,3,0)*VLOOKUP('Données projet'!$B$15,Paramètres!$A$1:$I$89,5,0)</f>
        <v>-5.4683368944097316E-13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252.30925789500111</v>
      </c>
      <c r="EP163" s="59">
        <f t="shared" si="154"/>
        <v>213.96033794804805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0.35293817936294181</v>
      </c>
      <c r="EW163" s="21">
        <f>EXP(-LN(2)/25)*EW162+(1-EXP(-LN(2)/25))/(LN(2)/25)*Calculateur!ER163*Calculateur!ET163*VLOOKUP('Données projet'!$B$15,Paramètres!$A$1:$I$89,3,0)*0.475*44/12</f>
        <v>0.25105606273232522</v>
      </c>
      <c r="EX163" s="21">
        <f>EXP(-LN(2)/2)*EX162+(1-EXP(-LN(2)/2))/(LN(2)/2)*ER163*EU163*VLOOKUP('Données projet'!$B$15,Paramètres!$A$1:$I$89,3,0)*0.475*44/12</f>
        <v>3.8970396481515326E-19</v>
      </c>
      <c r="EY163" s="22">
        <f t="shared" si="181"/>
        <v>0.60399424209526709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-1.1368683772161603E-12</v>
      </c>
      <c r="FF163" s="17">
        <f>FE163*VLOOKUP('Données projet'!$B$16,Paramètres!$A$1:$I$89,3,0)*VLOOKUP('Données projet'!$B$16,Paramètres!$A$1:$I$89,5,0)</f>
        <v>-5.4683368944097316E-13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252.30925789500111</v>
      </c>
      <c r="FK163" s="59">
        <f t="shared" si="156"/>
        <v>213.96033794804805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0.35293817936294181</v>
      </c>
      <c r="FR163" s="21">
        <f>EXP(-LN(2)/25)*FR162+(1-EXP(-LN(2)/25))/(LN(2)/25)*Calculateur!FM163*Calculateur!FO163*VLOOKUP('Données projet'!$B$16,Paramètres!$A$1:$I$89,3,0)*0.475*44/12</f>
        <v>0.25105606273232522</v>
      </c>
      <c r="FS163" s="21">
        <f>EXP(-LN(2)/2)*FS162+(1-EXP(-LN(2)/2))/(LN(2)/2)*FM163*FP163*VLOOKUP('Données projet'!$B$16,Paramètres!$A$1:$I$89,3,0)*0.475*44/12</f>
        <v>3.8970396481515326E-19</v>
      </c>
      <c r="FT163" s="22">
        <f t="shared" si="184"/>
        <v>0.60399424209526709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117.54638373164624</v>
      </c>
      <c r="GF163" s="59">
        <f t="shared" si="158"/>
        <v>133.0740262536583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0.16855139386954193</v>
      </c>
      <c r="GM163" s="21">
        <f>EXP(-LN(2)/25)*GM162+(1-EXP(-LN(2)/25))/(LN(2)/25)*Calculateur!GH163*Calculateur!GJ163*VLOOKUP('Données projet'!$B$17,Paramètres!$A$1:$I$89,3,0)*0.475*44/12</f>
        <v>0.23547275175721916</v>
      </c>
      <c r="GN163" s="21">
        <f>EXP(-LN(2)/2)*GN162+(1-EXP(-LN(2)/2))/(LN(2)/2)*GH163*GK163*VLOOKUP('Données projet'!$B$17,Paramètres!$A$1:$I$89,3,0)*0.475*44/12</f>
        <v>1.096541100833792E-19</v>
      </c>
      <c r="GO163" s="21">
        <f t="shared" si="187"/>
        <v>0.40402414562676109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2.8421709430404007E-14</v>
      </c>
      <c r="GV163" s="17">
        <f>GU163*VLOOKUP('Données projet'!$B$18,Paramètres!$A$1:$I$89,3,0)*VLOOKUP('Données projet'!$B$18,Paramètres!$A$1:$I$89,5,0)</f>
        <v>1.3567387213697657E-14</v>
      </c>
      <c r="GW163" s="13">
        <f t="shared" si="188"/>
        <v>2.5717320947985821E-13</v>
      </c>
      <c r="GX163" s="20">
        <f t="shared" si="189"/>
        <v>4.7153987257460977E-13</v>
      </c>
      <c r="GY163" s="59">
        <f t="shared" si="137"/>
        <v>293.33333333333377</v>
      </c>
      <c r="GZ163" s="59">
        <f ca="1">AVERAGE(OFFSET($GY$3,0,0,'Données projet'!$E$18+1,1))-AVERAGE(OFFSET($H$3,0,0,'Données projet'!$E$18+1,1))</f>
        <v>43.147469606759159</v>
      </c>
      <c r="HA163" s="59">
        <f t="shared" si="160"/>
        <v>147.46995307968473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2.7475082676564329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1.4939749124121444E-20</v>
      </c>
      <c r="HJ163" s="22">
        <f t="shared" si="190"/>
        <v>2.7475082676564329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2.8421709430404007E-14</v>
      </c>
      <c r="O164" s="13">
        <f>N164*VLOOKUP('Données projet'!$B$9,Paramètres!$A$1:$I$89,3,0)*VLOOKUP('Données projet'!$B$9,Paramètres!$A$1:$I$89,5,0)</f>
        <v>2.5715962692629544E-14</v>
      </c>
      <c r="P164" s="13">
        <f t="shared" si="141"/>
        <v>4.5248818890525812E-13</v>
      </c>
      <c r="Q164" s="20">
        <f t="shared" si="162"/>
        <v>8.3287223069965432E-13</v>
      </c>
      <c r="R164" s="59">
        <f t="shared" si="109"/>
        <v>293.33333333333417</v>
      </c>
      <c r="S164" s="59">
        <f ca="1">AVERAGE(OFFSET($R$3,0,0,'Données projet'!$E$9+1,1))-AVERAGE(OFFSET($H$3,0,0,'Données projet'!$E$9+1,1))</f>
        <v>138.8931001150624</v>
      </c>
      <c r="T164" s="59">
        <f t="shared" si="142"/>
        <v>48.964659354096625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-7.4487616075202836E-14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191.94797389630673</v>
      </c>
      <c r="AO164" s="59">
        <f t="shared" si="144"/>
        <v>273.52540822767878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0.37172518898656715</v>
      </c>
      <c r="AW164" s="21">
        <f>EXP(-LN(2)/2)*AW163+(1-EXP(-LN(2)/2))/(LN(2)/2)*AQ164*AT164*VLOOKUP('Données projet'!$B$10,Paramètres!$A$1:$I$89,3,0)*0.475*44/12</f>
        <v>4.4471379527023949E-19</v>
      </c>
      <c r="AX164" s="21">
        <f t="shared" si="166"/>
        <v>0.56403773227275833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3.5470293369144201E-14</v>
      </c>
      <c r="BF164" s="13">
        <f t="shared" si="167"/>
        <v>6.0119115841663204E-13</v>
      </c>
      <c r="BG164" s="20">
        <f t="shared" si="168"/>
        <v>1.1088520285268936E-12</v>
      </c>
      <c r="BH164" s="59">
        <f t="shared" si="116"/>
        <v>293.33333333333445</v>
      </c>
      <c r="BI164" s="59">
        <f ca="1">AVERAGE(OFFSET($BH$3,0,0,'Données projet'!$E$11+1,1))-AVERAGE(OFFSET($H$3,0,0,'Données projet'!$E$11+1,1))</f>
        <v>162.91481796710048</v>
      </c>
      <c r="BJ164" s="59">
        <f t="shared" si="146"/>
        <v>182.56192390367823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0.20774948412011648</v>
      </c>
      <c r="BQ164" s="21">
        <f>EXP(-LN(2)/25)*BQ163+(1-EXP(-LN(2)/25))/(LN(2)/25)*Calculateur!BL164*Calculateur!BN164*VLOOKUP('Données projet'!$B$11,Paramètres!$A$1:$I$89,3,0)*0.475*44/12</f>
        <v>0.40428378284318006</v>
      </c>
      <c r="BR164" s="21">
        <f>EXP(-LN(2)/2)*BR163+(1-EXP(-LN(2)/2))/(LN(2)/2)*BL164*BO164*VLOOKUP('Données projet'!$B$11,Paramètres!$A$1:$I$89,3,0)*0.475*44/12</f>
        <v>3.4441057913960415E-19</v>
      </c>
      <c r="BS164" s="22">
        <f t="shared" si="169"/>
        <v>0.61203326696329652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-5.3205440053716299E-14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123.60520571614535</v>
      </c>
      <c r="CE164" s="59">
        <f t="shared" si="148"/>
        <v>119.00926870519527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6.4782595829420309E-2</v>
      </c>
      <c r="CL164" s="21">
        <f>EXP(-LN(2)/25)*CL163+(1-EXP(-LN(2)/25))/(LN(2)/25)*Calculateur!CG164*Calculateur!CI164*VLOOKUP('Données projet'!$B$12,Paramètres!$A$1:$I$89,3,0)*0.475*44/12</f>
        <v>0.12639680052751812</v>
      </c>
      <c r="CM164" s="21">
        <f>EXP(-LN(2)/2)*CM163+(1-EXP(-LN(2)/2))/(LN(2)/2)*CG164*CJ164*VLOOKUP('Données projet'!$B$12,Paramètres!$A$1:$I$89,3,0)*0.475*44/12</f>
        <v>1.1717640059356181E-19</v>
      </c>
      <c r="CN164" s="22">
        <f t="shared" si="172"/>
        <v>0.19117939635693842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2.9706370696658272E-14</v>
      </c>
      <c r="CV164" s="13">
        <f t="shared" si="173"/>
        <v>5.1399863782592153E-13</v>
      </c>
      <c r="CW164" s="20">
        <f t="shared" si="174"/>
        <v>9.4695288984349312E-13</v>
      </c>
      <c r="CX164" s="59">
        <f t="shared" si="122"/>
        <v>293.33333333333428</v>
      </c>
      <c r="CY164" s="59">
        <f ca="1">AVERAGE(OFFSET($CX$3,0,0,'Données projet'!$E$13+1,1))-AVERAGE(OFFSET($H$3,0,0,'Données projet'!$E$13+1,1))</f>
        <v>177.94336949486529</v>
      </c>
      <c r="CZ164" s="59">
        <f t="shared" si="150"/>
        <v>65.559373432574603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3.3992364478763198E-14</v>
      </c>
      <c r="DQ164" s="13">
        <f t="shared" si="176"/>
        <v>5.790027782444094E-13</v>
      </c>
      <c r="DR164" s="20">
        <f t="shared" si="177"/>
        <v>1.0676332069095257E-12</v>
      </c>
      <c r="DS164" s="59">
        <f t="shared" si="125"/>
        <v>293.33333333333439</v>
      </c>
      <c r="DT164" s="59">
        <f ca="1">AVERAGE(OFFSET($DS$3,0,0,'Données projet'!$E$14+1,1))-AVERAGE(OFFSET($H$3,0,0,'Données projet'!$E$14+1,1))</f>
        <v>165.39579887388538</v>
      </c>
      <c r="DU164" s="59">
        <f t="shared" si="152"/>
        <v>155.89639262545802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0.19287919279310495</v>
      </c>
      <c r="EC164" s="21">
        <f>EXP(-LN(2)/2)*EC163+(1-EXP(-LN(2)/2))/(LN(2)/2)*DW164*DZ164*VLOOKUP('Données projet'!$B$14,Paramètres!$A$1:$I$89,3,0)*0.475*44/12</f>
        <v>2.6602709270479318E-19</v>
      </c>
      <c r="ED164" s="22">
        <f t="shared" si="178"/>
        <v>0.19287919279310495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-1.1368683772161603E-12</v>
      </c>
      <c r="EK164" s="17">
        <f>EJ164*VLOOKUP('Données projet'!$B$15,Paramètres!$A$1:$I$89,3,0)*VLOOKUP('Données projet'!$B$15,Paramètres!$A$1:$I$89,5,0)</f>
        <v>-5.4683368944097316E-13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252.30925789500111</v>
      </c>
      <c r="EP164" s="59">
        <f t="shared" si="154"/>
        <v>213.96033794804805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0.34601727693666767</v>
      </c>
      <c r="EW164" s="21">
        <f>EXP(-LN(2)/25)*EW163+(1-EXP(-LN(2)/25))/(LN(2)/25)*Calculateur!ER164*Calculateur!ET164*VLOOKUP('Données projet'!$B$15,Paramètres!$A$1:$I$89,3,0)*0.475*44/12</f>
        <v>0.24419092149444524</v>
      </c>
      <c r="EX164" s="21">
        <f>EXP(-LN(2)/2)*EX163+(1-EXP(-LN(2)/2))/(LN(2)/2)*ER164*EU164*VLOOKUP('Données projet'!$B$15,Paramètres!$A$1:$I$89,3,0)*0.475*44/12</f>
        <v>2.7556231617607858E-19</v>
      </c>
      <c r="EY164" s="22">
        <f t="shared" si="181"/>
        <v>0.59020819843111294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-1.1368683772161603E-12</v>
      </c>
      <c r="FF164" s="17">
        <f>FE164*VLOOKUP('Données projet'!$B$16,Paramètres!$A$1:$I$89,3,0)*VLOOKUP('Données projet'!$B$16,Paramètres!$A$1:$I$89,5,0)</f>
        <v>-5.4683368944097316E-13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252.30925789500111</v>
      </c>
      <c r="FK164" s="59">
        <f t="shared" si="156"/>
        <v>213.96033794804805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0.34601727693666767</v>
      </c>
      <c r="FR164" s="21">
        <f>EXP(-LN(2)/25)*FR163+(1-EXP(-LN(2)/25))/(LN(2)/25)*Calculateur!FM164*Calculateur!FO164*VLOOKUP('Données projet'!$B$16,Paramètres!$A$1:$I$89,3,0)*0.475*44/12</f>
        <v>0.24419092149444524</v>
      </c>
      <c r="FS164" s="21">
        <f>EXP(-LN(2)/2)*FS163+(1-EXP(-LN(2)/2))/(LN(2)/2)*FM164*FP164*VLOOKUP('Données projet'!$B$16,Paramètres!$A$1:$I$89,3,0)*0.475*44/12</f>
        <v>2.7556231617607858E-19</v>
      </c>
      <c r="FT164" s="22">
        <f t="shared" si="184"/>
        <v>0.59020819843111294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117.54638373164624</v>
      </c>
      <c r="GF164" s="59">
        <f t="shared" si="158"/>
        <v>133.0740262536583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0.1652462038419592</v>
      </c>
      <c r="GM164" s="21">
        <f>EXP(-LN(2)/25)*GM163+(1-EXP(-LN(2)/25))/(LN(2)/25)*Calculateur!GH164*Calculateur!GJ164*VLOOKUP('Données projet'!$B$17,Paramètres!$A$1:$I$89,3,0)*0.475*44/12</f>
        <v>0.22903373697744417</v>
      </c>
      <c r="GN164" s="21">
        <f>EXP(-LN(2)/2)*GN163+(1-EXP(-LN(2)/2))/(LN(2)/2)*GH164*GK164*VLOOKUP('Données projet'!$B$17,Paramètres!$A$1:$I$89,3,0)*0.475*44/12</f>
        <v>7.7537164824933613E-20</v>
      </c>
      <c r="GO164" s="21">
        <f t="shared" si="187"/>
        <v>0.39427994081940337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2.8421709430404007E-14</v>
      </c>
      <c r="GV164" s="17">
        <f>GU164*VLOOKUP('Données projet'!$B$18,Paramètres!$A$1:$I$89,3,0)*VLOOKUP('Données projet'!$B$18,Paramètres!$A$1:$I$89,5,0)</f>
        <v>1.3567387213697657E-14</v>
      </c>
      <c r="GW164" s="13">
        <f t="shared" si="188"/>
        <v>2.5717320947985821E-13</v>
      </c>
      <c r="GX164" s="20">
        <f t="shared" si="189"/>
        <v>4.7153987257460977E-13</v>
      </c>
      <c r="GY164" s="59">
        <f t="shared" si="137"/>
        <v>293.33333333333377</v>
      </c>
      <c r="GZ164" s="59">
        <f ca="1">AVERAGE(OFFSET($GY$3,0,0,'Données projet'!$E$18+1,1))-AVERAGE(OFFSET($H$3,0,0,'Données projet'!$E$18+1,1))</f>
        <v>43.147469606759159</v>
      </c>
      <c r="HA164" s="59">
        <f t="shared" si="160"/>
        <v>147.46995307968473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2.6936313063422603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1.0563997914892058E-20</v>
      </c>
      <c r="HJ164" s="22">
        <f t="shared" si="190"/>
        <v>2.6936313063422603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2.8421709430404007E-14</v>
      </c>
      <c r="O165" s="13">
        <f>N165*VLOOKUP('Données projet'!$B$9,Paramètres!$A$1:$I$89,3,0)*VLOOKUP('Données projet'!$B$9,Paramètres!$A$1:$I$89,5,0)</f>
        <v>2.5715962692629544E-14</v>
      </c>
      <c r="P165" s="13">
        <f t="shared" si="141"/>
        <v>4.5248818890525812E-13</v>
      </c>
      <c r="Q165" s="20">
        <f t="shared" si="162"/>
        <v>8.3287223069965432E-13</v>
      </c>
      <c r="R165" s="59">
        <f t="shared" si="109"/>
        <v>293.33333333333417</v>
      </c>
      <c r="S165" s="59">
        <f ca="1">AVERAGE(OFFSET($R$3,0,0,'Données projet'!$E$9+1,1))-AVERAGE(OFFSET($H$3,0,0,'Données projet'!$E$9+1,1))</f>
        <v>138.8931001150624</v>
      </c>
      <c r="T165" s="59">
        <f t="shared" si="142"/>
        <v>48.964659354096625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-7.4487616075202836E-14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191.94797389630673</v>
      </c>
      <c r="AO165" s="59">
        <f t="shared" si="144"/>
        <v>273.52540822767878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0.36156034414555138</v>
      </c>
      <c r="AW165" s="21">
        <f>EXP(-LN(2)/2)*AW164+(1-EXP(-LN(2)/2))/(LN(2)/2)*AQ165*AT165*VLOOKUP('Données projet'!$B$10,Paramètres!$A$1:$I$89,3,0)*0.475*44/12</f>
        <v>3.1446014032279234E-19</v>
      </c>
      <c r="AX165" s="21">
        <f t="shared" si="166"/>
        <v>0.5501017557569694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3.5470293369144201E-14</v>
      </c>
      <c r="BF165" s="13">
        <f t="shared" si="167"/>
        <v>6.0119115841663204E-13</v>
      </c>
      <c r="BG165" s="20">
        <f t="shared" si="168"/>
        <v>1.1088520285268936E-12</v>
      </c>
      <c r="BH165" s="59">
        <f t="shared" si="116"/>
        <v>293.33333333333445</v>
      </c>
      <c r="BI165" s="59">
        <f ca="1">AVERAGE(OFFSET($BH$3,0,0,'Données projet'!$E$11+1,1))-AVERAGE(OFFSET($H$3,0,0,'Données projet'!$E$11+1,1))</f>
        <v>162.91481796710048</v>
      </c>
      <c r="BJ165" s="59">
        <f t="shared" si="146"/>
        <v>182.56192390367823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0.20367564345119427</v>
      </c>
      <c r="BQ165" s="21">
        <f>EXP(-LN(2)/25)*BQ164+(1-EXP(-LN(2)/25))/(LN(2)/25)*Calculateur!BL165*Calculateur!BN165*VLOOKUP('Données projet'!$B$11,Paramètres!$A$1:$I$89,3,0)*0.475*44/12</f>
        <v>0.39322862154097316</v>
      </c>
      <c r="BR165" s="21">
        <f>EXP(-LN(2)/2)*BR164+(1-EXP(-LN(2)/2))/(LN(2)/2)*BL165*BO165*VLOOKUP('Données projet'!$B$11,Paramètres!$A$1:$I$89,3,0)*0.475*44/12</f>
        <v>2.4353505602200017E-19</v>
      </c>
      <c r="BS165" s="22">
        <f t="shared" si="169"/>
        <v>0.59690426499216742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-5.3205440053716299E-14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123.60520571614535</v>
      </c>
      <c r="CE165" s="59">
        <f t="shared" si="148"/>
        <v>119.00926870519527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6.3512248638687194E-2</v>
      </c>
      <c r="CL165" s="21">
        <f>EXP(-LN(2)/25)*CL164+(1-EXP(-LN(2)/25))/(LN(2)/25)*Calculateur!CG165*Calculateur!CI165*VLOOKUP('Données projet'!$B$12,Paramètres!$A$1:$I$89,3,0)*0.475*44/12</f>
        <v>0.12294047337017427</v>
      </c>
      <c r="CM165" s="21">
        <f>EXP(-LN(2)/2)*CM164+(1-EXP(-LN(2)/2))/(LN(2)/2)*CG165*CJ165*VLOOKUP('Données projet'!$B$12,Paramètres!$A$1:$I$89,3,0)*0.475*44/12</f>
        <v>8.285622745473895E-20</v>
      </c>
      <c r="CN165" s="22">
        <f t="shared" si="172"/>
        <v>0.18645272200886148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2.9706370696658272E-14</v>
      </c>
      <c r="CV165" s="13">
        <f t="shared" si="173"/>
        <v>5.1399863782592153E-13</v>
      </c>
      <c r="CW165" s="20">
        <f t="shared" si="174"/>
        <v>9.4695288984349312E-13</v>
      </c>
      <c r="CX165" s="59">
        <f t="shared" si="122"/>
        <v>293.33333333333428</v>
      </c>
      <c r="CY165" s="59">
        <f ca="1">AVERAGE(OFFSET($CX$3,0,0,'Données projet'!$E$13+1,1))-AVERAGE(OFFSET($H$3,0,0,'Données projet'!$E$13+1,1))</f>
        <v>177.94336949486529</v>
      </c>
      <c r="CZ165" s="59">
        <f t="shared" si="150"/>
        <v>65.559373432574603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3.3992364478763198E-14</v>
      </c>
      <c r="DQ165" s="13">
        <f t="shared" si="176"/>
        <v>5.790027782444094E-13</v>
      </c>
      <c r="DR165" s="20">
        <f t="shared" si="177"/>
        <v>1.0676332069095257E-12</v>
      </c>
      <c r="DS165" s="59">
        <f t="shared" si="125"/>
        <v>293.33333333333439</v>
      </c>
      <c r="DT165" s="59">
        <f ca="1">AVERAGE(OFFSET($DS$3,0,0,'Données projet'!$E$14+1,1))-AVERAGE(OFFSET($H$3,0,0,'Données projet'!$E$14+1,1))</f>
        <v>165.39579887388538</v>
      </c>
      <c r="DU165" s="59">
        <f t="shared" si="152"/>
        <v>155.89639262545802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0.18760490112310158</v>
      </c>
      <c r="EC165" s="21">
        <f>EXP(-LN(2)/2)*EC164+(1-EXP(-LN(2)/2))/(LN(2)/2)*DW165*DZ165*VLOOKUP('Données projet'!$B$14,Paramètres!$A$1:$I$89,3,0)*0.475*44/12</f>
        <v>1.8810956123090159E-19</v>
      </c>
      <c r="ED165" s="22">
        <f t="shared" si="178"/>
        <v>0.18760490112310158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-1.1368683772161603E-12</v>
      </c>
      <c r="EK165" s="17">
        <f>EJ165*VLOOKUP('Données projet'!$B$15,Paramètres!$A$1:$I$89,3,0)*VLOOKUP('Données projet'!$B$15,Paramètres!$A$1:$I$89,5,0)</f>
        <v>-5.4683368944097316E-13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252.30925789500111</v>
      </c>
      <c r="EP165" s="59">
        <f t="shared" si="154"/>
        <v>213.96033794804805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0.33923208918563913</v>
      </c>
      <c r="EW165" s="21">
        <f>EXP(-LN(2)/25)*EW164+(1-EXP(-LN(2)/25))/(LN(2)/25)*Calculateur!ER165*Calculateur!ET165*VLOOKUP('Données projet'!$B$15,Paramètres!$A$1:$I$89,3,0)*0.475*44/12</f>
        <v>0.23751350790473719</v>
      </c>
      <c r="EX165" s="21">
        <f>EXP(-LN(2)/2)*EX164+(1-EXP(-LN(2)/2))/(LN(2)/2)*ER165*EU165*VLOOKUP('Données projet'!$B$15,Paramètres!$A$1:$I$89,3,0)*0.475*44/12</f>
        <v>1.9485198240757663E-19</v>
      </c>
      <c r="EY165" s="22">
        <f t="shared" si="181"/>
        <v>0.57674559709037632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-1.1368683772161603E-12</v>
      </c>
      <c r="FF165" s="17">
        <f>FE165*VLOOKUP('Données projet'!$B$16,Paramètres!$A$1:$I$89,3,0)*VLOOKUP('Données projet'!$B$16,Paramètres!$A$1:$I$89,5,0)</f>
        <v>-5.4683368944097316E-13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252.30925789500111</v>
      </c>
      <c r="FK165" s="59">
        <f t="shared" si="156"/>
        <v>213.96033794804805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0.33923208918563913</v>
      </c>
      <c r="FR165" s="21">
        <f>EXP(-LN(2)/25)*FR164+(1-EXP(-LN(2)/25))/(LN(2)/25)*Calculateur!FM165*Calculateur!FO165*VLOOKUP('Données projet'!$B$16,Paramètres!$A$1:$I$89,3,0)*0.475*44/12</f>
        <v>0.23751350790473719</v>
      </c>
      <c r="FS165" s="21">
        <f>EXP(-LN(2)/2)*FS164+(1-EXP(-LN(2)/2))/(LN(2)/2)*FM165*FP165*VLOOKUP('Données projet'!$B$16,Paramètres!$A$1:$I$89,3,0)*0.475*44/12</f>
        <v>1.9485198240757663E-19</v>
      </c>
      <c r="FT165" s="22">
        <f t="shared" si="184"/>
        <v>0.57674559709037632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117.54638373164624</v>
      </c>
      <c r="GF165" s="59">
        <f t="shared" si="158"/>
        <v>133.0740262536583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0.16200582657485052</v>
      </c>
      <c r="GM165" s="21">
        <f>EXP(-LN(2)/25)*GM164+(1-EXP(-LN(2)/25))/(LN(2)/25)*Calculateur!GH165*Calculateur!GJ165*VLOOKUP('Données projet'!$B$17,Paramètres!$A$1:$I$89,3,0)*0.475*44/12</f>
        <v>0.2227707973954352</v>
      </c>
      <c r="GN165" s="21">
        <f>EXP(-LN(2)/2)*GN164+(1-EXP(-LN(2)/2))/(LN(2)/2)*GH165*GK165*VLOOKUP('Données projet'!$B$17,Paramètres!$A$1:$I$89,3,0)*0.475*44/12</f>
        <v>5.4827055041689601E-20</v>
      </c>
      <c r="GO165" s="21">
        <f t="shared" si="187"/>
        <v>0.38477662397028572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2.8421709430404007E-14</v>
      </c>
      <c r="GV165" s="17">
        <f>GU165*VLOOKUP('Données projet'!$B$18,Paramètres!$A$1:$I$89,3,0)*VLOOKUP('Données projet'!$B$18,Paramètres!$A$1:$I$89,5,0)</f>
        <v>1.3567387213697657E-14</v>
      </c>
      <c r="GW165" s="13">
        <f t="shared" si="188"/>
        <v>2.5717320947985821E-13</v>
      </c>
      <c r="GX165" s="20">
        <f t="shared" si="189"/>
        <v>4.7153987257460977E-13</v>
      </c>
      <c r="GY165" s="59">
        <f t="shared" si="137"/>
        <v>293.33333333333377</v>
      </c>
      <c r="GZ165" s="59">
        <f ca="1">AVERAGE(OFFSET($GY$3,0,0,'Données projet'!$E$18+1,1))-AVERAGE(OFFSET($H$3,0,0,'Données projet'!$E$18+1,1))</f>
        <v>43.147469606759159</v>
      </c>
      <c r="HA165" s="59">
        <f t="shared" si="160"/>
        <v>147.46995307968473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2.6408108393777572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7.4698745620607222E-21</v>
      </c>
      <c r="HJ165" s="22">
        <f t="shared" si="190"/>
        <v>2.6408108393777572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2.8421709430404007E-14</v>
      </c>
      <c r="O166" s="13">
        <f>N166*VLOOKUP('Données projet'!$B$9,Paramètres!$A$1:$I$89,3,0)*VLOOKUP('Données projet'!$B$9,Paramètres!$A$1:$I$89,5,0)</f>
        <v>2.5715962692629544E-14</v>
      </c>
      <c r="P166" s="13">
        <f t="shared" si="141"/>
        <v>4.5248818890525812E-13</v>
      </c>
      <c r="Q166" s="20">
        <f t="shared" si="162"/>
        <v>8.3287223069965432E-13</v>
      </c>
      <c r="R166" s="59">
        <f t="shared" si="109"/>
        <v>293.33333333333417</v>
      </c>
      <c r="S166" s="59">
        <f ca="1">AVERAGE(OFFSET($R$3,0,0,'Données projet'!$E$9+1,1))-AVERAGE(OFFSET($H$3,0,0,'Données projet'!$E$9+1,1))</f>
        <v>138.8931001150624</v>
      </c>
      <c r="T166" s="59">
        <f t="shared" si="142"/>
        <v>48.964659354096625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-7.4487616075202836E-14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191.94797389630673</v>
      </c>
      <c r="AO166" s="59">
        <f t="shared" si="144"/>
        <v>273.52540822767878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0.35167345752125911</v>
      </c>
      <c r="AW166" s="21">
        <f>EXP(-LN(2)/2)*AW165+(1-EXP(-LN(2)/2))/(LN(2)/2)*AQ166*AT166*VLOOKUP('Données projet'!$B$10,Paramètres!$A$1:$I$89,3,0)*0.475*44/12</f>
        <v>2.2235689763511975E-19</v>
      </c>
      <c r="AX166" s="21">
        <f t="shared" si="166"/>
        <v>0.53651768704988312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3.5470293369144201E-14</v>
      </c>
      <c r="BF166" s="13">
        <f t="shared" si="167"/>
        <v>6.0119115841663204E-13</v>
      </c>
      <c r="BG166" s="20">
        <f t="shared" si="168"/>
        <v>1.1088520285268936E-12</v>
      </c>
      <c r="BH166" s="59">
        <f t="shared" si="116"/>
        <v>293.33333333333445</v>
      </c>
      <c r="BI166" s="59">
        <f ca="1">AVERAGE(OFFSET($BH$3,0,0,'Données projet'!$E$11+1,1))-AVERAGE(OFFSET($H$3,0,0,'Données projet'!$E$11+1,1))</f>
        <v>162.91481796710048</v>
      </c>
      <c r="BJ166" s="59">
        <f t="shared" si="146"/>
        <v>182.56192390367823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0.19968168831299218</v>
      </c>
      <c r="BQ166" s="21">
        <f>EXP(-LN(2)/25)*BQ165+(1-EXP(-LN(2)/25))/(LN(2)/25)*Calculateur!BL166*Calculateur!BN166*VLOOKUP('Données projet'!$B$11,Paramètres!$A$1:$I$89,3,0)*0.475*44/12</f>
        <v>0.38247576420594076</v>
      </c>
      <c r="BR166" s="21">
        <f>EXP(-LN(2)/2)*BR165+(1-EXP(-LN(2)/2))/(LN(2)/2)*BL166*BO166*VLOOKUP('Données projet'!$B$11,Paramètres!$A$1:$I$89,3,0)*0.475*44/12</f>
        <v>1.7220528956980207E-19</v>
      </c>
      <c r="BS166" s="22">
        <f t="shared" si="169"/>
        <v>0.58215745251893292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-5.3205440053716299E-14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123.60520571614535</v>
      </c>
      <c r="CE166" s="59">
        <f t="shared" si="148"/>
        <v>119.00926870519527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6.2266812181529081E-2</v>
      </c>
      <c r="CL166" s="21">
        <f>EXP(-LN(2)/25)*CL165+(1-EXP(-LN(2)/25))/(LN(2)/25)*Calculateur!CG166*Calculateur!CI166*VLOOKUP('Données projet'!$B$12,Paramètres!$A$1:$I$89,3,0)*0.475*44/12</f>
        <v>0.11957865966070835</v>
      </c>
      <c r="CM166" s="21">
        <f>EXP(-LN(2)/2)*CM165+(1-EXP(-LN(2)/2))/(LN(2)/2)*CG166*CJ166*VLOOKUP('Données projet'!$B$12,Paramètres!$A$1:$I$89,3,0)*0.475*44/12</f>
        <v>5.8588200296780905E-20</v>
      </c>
      <c r="CN166" s="22">
        <f t="shared" si="172"/>
        <v>0.18184547184223743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2.9706370696658272E-14</v>
      </c>
      <c r="CV166" s="13">
        <f t="shared" si="173"/>
        <v>5.1399863782592153E-13</v>
      </c>
      <c r="CW166" s="20">
        <f t="shared" si="174"/>
        <v>9.4695288984349312E-13</v>
      </c>
      <c r="CX166" s="59">
        <f t="shared" si="122"/>
        <v>293.33333333333428</v>
      </c>
      <c r="CY166" s="59">
        <f ca="1">AVERAGE(OFFSET($CX$3,0,0,'Données projet'!$E$13+1,1))-AVERAGE(OFFSET($H$3,0,0,'Données projet'!$E$13+1,1))</f>
        <v>177.94336949486529</v>
      </c>
      <c r="CZ166" s="59">
        <f t="shared" si="150"/>
        <v>65.559373432574603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3.3992364478763198E-14</v>
      </c>
      <c r="DQ166" s="13">
        <f t="shared" si="176"/>
        <v>5.790027782444094E-13</v>
      </c>
      <c r="DR166" s="20">
        <f t="shared" si="177"/>
        <v>1.0676332069095257E-12</v>
      </c>
      <c r="DS166" s="59">
        <f t="shared" si="125"/>
        <v>293.33333333333439</v>
      </c>
      <c r="DT166" s="59">
        <f ca="1">AVERAGE(OFFSET($DS$3,0,0,'Données projet'!$E$14+1,1))-AVERAGE(OFFSET($H$3,0,0,'Données projet'!$E$14+1,1))</f>
        <v>165.39579887388538</v>
      </c>
      <c r="DU166" s="59">
        <f t="shared" si="152"/>
        <v>155.89639262545802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0.18247483523617739</v>
      </c>
      <c r="EC166" s="21">
        <f>EXP(-LN(2)/2)*EC165+(1-EXP(-LN(2)/2))/(LN(2)/2)*DW166*DZ166*VLOOKUP('Données projet'!$B$14,Paramètres!$A$1:$I$89,3,0)*0.475*44/12</f>
        <v>1.3301354635239659E-19</v>
      </c>
      <c r="ED166" s="22">
        <f t="shared" si="178"/>
        <v>0.18247483523617739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-1.1368683772161603E-12</v>
      </c>
      <c r="EK166" s="17">
        <f>EJ166*VLOOKUP('Données projet'!$B$15,Paramètres!$A$1:$I$89,3,0)*VLOOKUP('Données projet'!$B$15,Paramètres!$A$1:$I$89,5,0)</f>
        <v>-5.4683368944097316E-13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252.30925789500111</v>
      </c>
      <c r="EP166" s="59">
        <f t="shared" si="154"/>
        <v>213.96033794804805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0.33257995482785235</v>
      </c>
      <c r="EW166" s="21">
        <f>EXP(-LN(2)/25)*EW165+(1-EXP(-LN(2)/25))/(LN(2)/25)*Calculateur!ER166*Calculateur!ET166*VLOOKUP('Données projet'!$B$15,Paramètres!$A$1:$I$89,3,0)*0.475*44/12</f>
        <v>0.23101868854078961</v>
      </c>
      <c r="EX166" s="21">
        <f>EXP(-LN(2)/2)*EX165+(1-EXP(-LN(2)/2))/(LN(2)/2)*ER166*EU166*VLOOKUP('Données projet'!$B$15,Paramètres!$A$1:$I$89,3,0)*0.475*44/12</f>
        <v>1.3778115808803929E-19</v>
      </c>
      <c r="EY166" s="22">
        <f t="shared" si="181"/>
        <v>0.56359864336864196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-1.1368683772161603E-12</v>
      </c>
      <c r="FF166" s="17">
        <f>FE166*VLOOKUP('Données projet'!$B$16,Paramètres!$A$1:$I$89,3,0)*VLOOKUP('Données projet'!$B$16,Paramètres!$A$1:$I$89,5,0)</f>
        <v>-5.4683368944097316E-13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252.30925789500111</v>
      </c>
      <c r="FK166" s="59">
        <f t="shared" si="156"/>
        <v>213.96033794804805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0.33257995482785235</v>
      </c>
      <c r="FR166" s="21">
        <f>EXP(-LN(2)/25)*FR165+(1-EXP(-LN(2)/25))/(LN(2)/25)*Calculateur!FM166*Calculateur!FO166*VLOOKUP('Données projet'!$B$16,Paramètres!$A$1:$I$89,3,0)*0.475*44/12</f>
        <v>0.23101868854078961</v>
      </c>
      <c r="FS166" s="21">
        <f>EXP(-LN(2)/2)*FS165+(1-EXP(-LN(2)/2))/(LN(2)/2)*FM166*FP166*VLOOKUP('Données projet'!$B$16,Paramètres!$A$1:$I$89,3,0)*0.475*44/12</f>
        <v>1.3778115808803929E-19</v>
      </c>
      <c r="FT166" s="22">
        <f t="shared" si="184"/>
        <v>0.56359864336864196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117.54638373164624</v>
      </c>
      <c r="GF166" s="59">
        <f t="shared" si="158"/>
        <v>133.0740262536583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0.15882899112951485</v>
      </c>
      <c r="GM166" s="21">
        <f>EXP(-LN(2)/25)*GM165+(1-EXP(-LN(2)/25))/(LN(2)/25)*Calculateur!GH166*Calculateur!GJ166*VLOOKUP('Données projet'!$B$17,Paramètres!$A$1:$I$89,3,0)*0.475*44/12</f>
        <v>0.21667911822564995</v>
      </c>
      <c r="GN166" s="21">
        <f>EXP(-LN(2)/2)*GN165+(1-EXP(-LN(2)/2))/(LN(2)/2)*GH166*GK166*VLOOKUP('Données projet'!$B$17,Paramètres!$A$1:$I$89,3,0)*0.475*44/12</f>
        <v>3.8768582412466807E-20</v>
      </c>
      <c r="GO166" s="21">
        <f t="shared" si="187"/>
        <v>0.37550810935516477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2.8421709430404007E-14</v>
      </c>
      <c r="GV166" s="17">
        <f>GU166*VLOOKUP('Données projet'!$B$18,Paramètres!$A$1:$I$89,3,0)*VLOOKUP('Données projet'!$B$18,Paramètres!$A$1:$I$89,5,0)</f>
        <v>1.3567387213697657E-14</v>
      </c>
      <c r="GW166" s="13">
        <f t="shared" si="188"/>
        <v>2.5717320947985821E-13</v>
      </c>
      <c r="GX166" s="20">
        <f t="shared" si="189"/>
        <v>4.7153987257460977E-13</v>
      </c>
      <c r="GY166" s="59">
        <f t="shared" si="137"/>
        <v>293.33333333333377</v>
      </c>
      <c r="GZ166" s="59">
        <f ca="1">AVERAGE(OFFSET($GY$3,0,0,'Données projet'!$E$18+1,1))-AVERAGE(OFFSET($H$3,0,0,'Données projet'!$E$18+1,1))</f>
        <v>43.147469606759159</v>
      </c>
      <c r="HA166" s="59">
        <f t="shared" si="160"/>
        <v>147.46995307968473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2.5890261495531246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5.2819989574460288E-21</v>
      </c>
      <c r="HJ166" s="22">
        <f t="shared" si="190"/>
        <v>2.5890261495531246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2.8421709430404007E-14</v>
      </c>
      <c r="O167" s="13">
        <f>N167*VLOOKUP('Données projet'!$B$9,Paramètres!$A$1:$I$89,3,0)*VLOOKUP('Données projet'!$B$9,Paramètres!$A$1:$I$89,5,0)</f>
        <v>2.5715962692629544E-14</v>
      </c>
      <c r="P167" s="13">
        <f t="shared" si="141"/>
        <v>4.5248818890525812E-13</v>
      </c>
      <c r="Q167" s="20">
        <f t="shared" si="162"/>
        <v>8.3287223069965432E-13</v>
      </c>
      <c r="R167" s="59">
        <f t="shared" si="109"/>
        <v>293.33333333333417</v>
      </c>
      <c r="S167" s="59">
        <f ca="1">AVERAGE(OFFSET($R$3,0,0,'Données projet'!$E$9+1,1))-AVERAGE(OFFSET($H$3,0,0,'Données projet'!$E$9+1,1))</f>
        <v>138.8931001150624</v>
      </c>
      <c r="T167" s="59">
        <f t="shared" si="142"/>
        <v>48.964659354096625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-7.4487616075202836E-14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191.94797389630673</v>
      </c>
      <c r="AO167" s="59">
        <f t="shared" si="144"/>
        <v>273.52540822767878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0.34205692833163692</v>
      </c>
      <c r="AW167" s="21">
        <f>EXP(-LN(2)/2)*AW166+(1-EXP(-LN(2)/2))/(LN(2)/2)*AQ167*AT167*VLOOKUP('Données projet'!$B$10,Paramètres!$A$1:$I$89,3,0)*0.475*44/12</f>
        <v>1.5723007016139617E-19</v>
      </c>
      <c r="AX167" s="21">
        <f t="shared" si="166"/>
        <v>0.5232764752630521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3.5470293369144201E-14</v>
      </c>
      <c r="BF167" s="13">
        <f t="shared" si="167"/>
        <v>6.0119115841663204E-13</v>
      </c>
      <c r="BG167" s="20">
        <f t="shared" si="168"/>
        <v>1.1088520285268936E-12</v>
      </c>
      <c r="BH167" s="59">
        <f t="shared" si="116"/>
        <v>293.33333333333445</v>
      </c>
      <c r="BI167" s="59">
        <f ca="1">AVERAGE(OFFSET($BH$3,0,0,'Données projet'!$E$11+1,1))-AVERAGE(OFFSET($H$3,0,0,'Données projet'!$E$11+1,1))</f>
        <v>162.91481796710048</v>
      </c>
      <c r="BJ167" s="59">
        <f t="shared" si="146"/>
        <v>182.56192390367823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0.19576605219897814</v>
      </c>
      <c r="BQ167" s="21">
        <f>EXP(-LN(2)/25)*BQ166+(1-EXP(-LN(2)/25))/(LN(2)/25)*Calculateur!BL167*Calculateur!BN167*VLOOKUP('Données projet'!$B$11,Paramètres!$A$1:$I$89,3,0)*0.475*44/12</f>
        <v>0.37201694432020305</v>
      </c>
      <c r="BR167" s="21">
        <f>EXP(-LN(2)/2)*BR166+(1-EXP(-LN(2)/2))/(LN(2)/2)*BL167*BO167*VLOOKUP('Données projet'!$B$11,Paramètres!$A$1:$I$89,3,0)*0.475*44/12</f>
        <v>1.2176752801100009E-19</v>
      </c>
      <c r="BS167" s="22">
        <f t="shared" si="169"/>
        <v>0.56778299651918118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-5.3205440053716299E-14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123.60520571614535</v>
      </c>
      <c r="CE167" s="59">
        <f t="shared" si="148"/>
        <v>119.00926870519527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6.1045797973654614E-2</v>
      </c>
      <c r="CL167" s="21">
        <f>EXP(-LN(2)/25)*CL166+(1-EXP(-LN(2)/25))/(LN(2)/25)*Calculateur!CG167*Calculateur!CI167*VLOOKUP('Données projet'!$B$12,Paramètres!$A$1:$I$89,3,0)*0.475*44/12</f>
        <v>0.11630877492391788</v>
      </c>
      <c r="CM167" s="21">
        <f>EXP(-LN(2)/2)*CM166+(1-EXP(-LN(2)/2))/(LN(2)/2)*CG167*CJ167*VLOOKUP('Données projet'!$B$12,Paramètres!$A$1:$I$89,3,0)*0.475*44/12</f>
        <v>4.1428113727369475E-20</v>
      </c>
      <c r="CN167" s="22">
        <f t="shared" si="172"/>
        <v>0.1773545728975725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2.9706370696658272E-14</v>
      </c>
      <c r="CV167" s="13">
        <f t="shared" si="173"/>
        <v>5.1399863782592153E-13</v>
      </c>
      <c r="CW167" s="20">
        <f t="shared" si="174"/>
        <v>9.4695288984349312E-13</v>
      </c>
      <c r="CX167" s="59">
        <f t="shared" si="122"/>
        <v>293.33333333333428</v>
      </c>
      <c r="CY167" s="59">
        <f ca="1">AVERAGE(OFFSET($CX$3,0,0,'Données projet'!$E$13+1,1))-AVERAGE(OFFSET($H$3,0,0,'Données projet'!$E$13+1,1))</f>
        <v>177.94336949486529</v>
      </c>
      <c r="CZ167" s="59">
        <f t="shared" si="150"/>
        <v>65.559373432574603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3.3992364478763198E-14</v>
      </c>
      <c r="DQ167" s="13">
        <f t="shared" si="176"/>
        <v>5.790027782444094E-13</v>
      </c>
      <c r="DR167" s="20">
        <f t="shared" si="177"/>
        <v>1.0676332069095257E-12</v>
      </c>
      <c r="DS167" s="59">
        <f t="shared" si="125"/>
        <v>293.33333333333439</v>
      </c>
      <c r="DT167" s="59">
        <f ca="1">AVERAGE(OFFSET($DS$3,0,0,'Données projet'!$E$14+1,1))-AVERAGE(OFFSET($H$3,0,0,'Données projet'!$E$14+1,1))</f>
        <v>165.39579887388538</v>
      </c>
      <c r="DU167" s="59">
        <f t="shared" si="152"/>
        <v>155.89639262545802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0.17748505127070957</v>
      </c>
      <c r="EC167" s="21">
        <f>EXP(-LN(2)/2)*EC166+(1-EXP(-LN(2)/2))/(LN(2)/2)*DW167*DZ167*VLOOKUP('Données projet'!$B$14,Paramètres!$A$1:$I$89,3,0)*0.475*44/12</f>
        <v>9.4054780615450795E-20</v>
      </c>
      <c r="ED167" s="22">
        <f t="shared" si="178"/>
        <v>0.17748505127070957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-1.1368683772161603E-12</v>
      </c>
      <c r="EK167" s="17">
        <f>EJ167*VLOOKUP('Données projet'!$B$15,Paramètres!$A$1:$I$89,3,0)*VLOOKUP('Données projet'!$B$15,Paramètres!$A$1:$I$89,5,0)</f>
        <v>-5.4683368944097316E-13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252.30925789500111</v>
      </c>
      <c r="EP167" s="59">
        <f t="shared" si="154"/>
        <v>213.96033794804805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0.32605826476742045</v>
      </c>
      <c r="EW167" s="21">
        <f>EXP(-LN(2)/25)*EW166+(1-EXP(-LN(2)/25))/(LN(2)/25)*Calculateur!ER167*Calculateur!ET167*VLOOKUP('Données projet'!$B$15,Paramètres!$A$1:$I$89,3,0)*0.475*44/12</f>
        <v>0.2247014703538969</v>
      </c>
      <c r="EX167" s="21">
        <f>EXP(-LN(2)/2)*EX166+(1-EXP(-LN(2)/2))/(LN(2)/2)*ER167*EU167*VLOOKUP('Données projet'!$B$15,Paramètres!$A$1:$I$89,3,0)*0.475*44/12</f>
        <v>9.7425991203788314E-20</v>
      </c>
      <c r="EY167" s="22">
        <f t="shared" si="181"/>
        <v>0.55075973512131737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-1.1368683772161603E-12</v>
      </c>
      <c r="FF167" s="17">
        <f>FE167*VLOOKUP('Données projet'!$B$16,Paramètres!$A$1:$I$89,3,0)*VLOOKUP('Données projet'!$B$16,Paramètres!$A$1:$I$89,5,0)</f>
        <v>-5.4683368944097316E-13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252.30925789500111</v>
      </c>
      <c r="FK167" s="59">
        <f t="shared" si="156"/>
        <v>213.96033794804805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0.32605826476742045</v>
      </c>
      <c r="FR167" s="21">
        <f>EXP(-LN(2)/25)*FR166+(1-EXP(-LN(2)/25))/(LN(2)/25)*Calculateur!FM167*Calculateur!FO167*VLOOKUP('Données projet'!$B$16,Paramètres!$A$1:$I$89,3,0)*0.475*44/12</f>
        <v>0.2247014703538969</v>
      </c>
      <c r="FS167" s="21">
        <f>EXP(-LN(2)/2)*FS166+(1-EXP(-LN(2)/2))/(LN(2)/2)*FM167*FP167*VLOOKUP('Données projet'!$B$16,Paramètres!$A$1:$I$89,3,0)*0.475*44/12</f>
        <v>9.7425991203788314E-20</v>
      </c>
      <c r="FT167" s="22">
        <f t="shared" si="184"/>
        <v>0.55075973512131737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117.54638373164624</v>
      </c>
      <c r="GF167" s="59">
        <f t="shared" si="158"/>
        <v>133.0740262536583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0.15571445148958393</v>
      </c>
      <c r="GM167" s="21">
        <f>EXP(-LN(2)/25)*GM166+(1-EXP(-LN(2)/25))/(LN(2)/25)*Calculateur!GH167*Calculateur!GJ167*VLOOKUP('Données projet'!$B$17,Paramètres!$A$1:$I$89,3,0)*0.475*44/12</f>
        <v>0.21075401634310995</v>
      </c>
      <c r="GN167" s="21">
        <f>EXP(-LN(2)/2)*GN166+(1-EXP(-LN(2)/2))/(LN(2)/2)*GH167*GK167*VLOOKUP('Données projet'!$B$17,Paramètres!$A$1:$I$89,3,0)*0.475*44/12</f>
        <v>2.7413527520844801E-20</v>
      </c>
      <c r="GO167" s="21">
        <f t="shared" si="187"/>
        <v>0.36646846783269388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2.8421709430404007E-14</v>
      </c>
      <c r="GV167" s="17">
        <f>GU167*VLOOKUP('Données projet'!$B$18,Paramètres!$A$1:$I$89,3,0)*VLOOKUP('Données projet'!$B$18,Paramètres!$A$1:$I$89,5,0)</f>
        <v>1.3567387213697657E-14</v>
      </c>
      <c r="GW167" s="13">
        <f t="shared" si="188"/>
        <v>2.5717320947985821E-13</v>
      </c>
      <c r="GX167" s="20">
        <f t="shared" si="189"/>
        <v>4.7153987257460977E-13</v>
      </c>
      <c r="GY167" s="59">
        <f t="shared" si="137"/>
        <v>293.33333333333377</v>
      </c>
      <c r="GZ167" s="59">
        <f ca="1">AVERAGE(OFFSET($GY$3,0,0,'Données projet'!$E$18+1,1))-AVERAGE(OFFSET($H$3,0,0,'Données projet'!$E$18+1,1))</f>
        <v>43.147469606759159</v>
      </c>
      <c r="HA167" s="59">
        <f t="shared" si="160"/>
        <v>147.46995307968473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2.5382569259104111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3.7349372810303611E-21</v>
      </c>
      <c r="HJ167" s="22">
        <f t="shared" si="190"/>
        <v>2.5382569259104111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2.8421709430404007E-14</v>
      </c>
      <c r="O168" s="13">
        <f>N168*VLOOKUP('Données projet'!$B$9,Paramètres!$A$1:$I$89,3,0)*VLOOKUP('Données projet'!$B$9,Paramètres!$A$1:$I$89,5,0)</f>
        <v>2.5715962692629544E-14</v>
      </c>
      <c r="P168" s="13">
        <f t="shared" si="141"/>
        <v>4.5248818890525812E-13</v>
      </c>
      <c r="Q168" s="20">
        <f t="shared" si="162"/>
        <v>8.3287223069965432E-13</v>
      </c>
      <c r="R168" s="59">
        <f t="shared" si="109"/>
        <v>293.33333333333417</v>
      </c>
      <c r="S168" s="59">
        <f ca="1">AVERAGE(OFFSET($R$3,0,0,'Données projet'!$E$9+1,1))-AVERAGE(OFFSET($H$3,0,0,'Données projet'!$E$9+1,1))</f>
        <v>138.8931001150624</v>
      </c>
      <c r="T168" s="59">
        <f t="shared" si="142"/>
        <v>48.964659354096625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-7.4487616075202836E-14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191.94797389630673</v>
      </c>
      <c r="AO168" s="59">
        <f t="shared" si="144"/>
        <v>273.52540822767878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0.33270336363841624</v>
      </c>
      <c r="AW168" s="21">
        <f>EXP(-LN(2)/2)*AW167+(1-EXP(-LN(2)/2))/(LN(2)/2)*AQ168*AT168*VLOOKUP('Données projet'!$B$10,Paramètres!$A$1:$I$89,3,0)*0.475*44/12</f>
        <v>1.1117844881755987E-19</v>
      </c>
      <c r="AX168" s="21">
        <f t="shared" si="166"/>
        <v>0.51036930578751583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3.5470293369144201E-14</v>
      </c>
      <c r="BF168" s="13">
        <f t="shared" si="167"/>
        <v>6.0119115841663204E-13</v>
      </c>
      <c r="BG168" s="20">
        <f t="shared" si="168"/>
        <v>1.1088520285268936E-12</v>
      </c>
      <c r="BH168" s="59">
        <f t="shared" si="116"/>
        <v>293.33333333333445</v>
      </c>
      <c r="BI168" s="59">
        <f ca="1">AVERAGE(OFFSET($BH$3,0,0,'Données projet'!$E$11+1,1))-AVERAGE(OFFSET($H$3,0,0,'Données projet'!$E$11+1,1))</f>
        <v>162.91481796710048</v>
      </c>
      <c r="BJ168" s="59">
        <f t="shared" si="146"/>
        <v>182.56192390367823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0.19192719932085769</v>
      </c>
      <c r="BQ168" s="21">
        <f>EXP(-LN(2)/25)*BQ167+(1-EXP(-LN(2)/25))/(LN(2)/25)*Calculateur!BL168*Calculateur!BN168*VLOOKUP('Données projet'!$B$11,Paramètres!$A$1:$I$89,3,0)*0.475*44/12</f>
        <v>0.36184412141424627</v>
      </c>
      <c r="BR168" s="21">
        <f>EXP(-LN(2)/2)*BR167+(1-EXP(-LN(2)/2))/(LN(2)/2)*BL168*BO168*VLOOKUP('Données projet'!$B$11,Paramètres!$A$1:$I$89,3,0)*0.475*44/12</f>
        <v>8.6102644784901037E-20</v>
      </c>
      <c r="BS168" s="22">
        <f t="shared" si="169"/>
        <v>0.55377132073510393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-5.3205440053716299E-14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123.60520571614535</v>
      </c>
      <c r="CE168" s="59">
        <f t="shared" si="148"/>
        <v>119.00926870519527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5.9848727109651431E-2</v>
      </c>
      <c r="CL168" s="21">
        <f>EXP(-LN(2)/25)*CL167+(1-EXP(-LN(2)/25))/(LN(2)/25)*Calculateur!CG168*Calculateur!CI168*VLOOKUP('Données projet'!$B$12,Paramètres!$A$1:$I$89,3,0)*0.475*44/12</f>
        <v>0.11312830535721069</v>
      </c>
      <c r="CM168" s="21">
        <f>EXP(-LN(2)/2)*CM167+(1-EXP(-LN(2)/2))/(LN(2)/2)*CG168*CJ168*VLOOKUP('Données projet'!$B$12,Paramètres!$A$1:$I$89,3,0)*0.475*44/12</f>
        <v>2.9294100148390453E-20</v>
      </c>
      <c r="CN168" s="22">
        <f t="shared" si="172"/>
        <v>0.17297703246686214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2.9706370696658272E-14</v>
      </c>
      <c r="CV168" s="13">
        <f t="shared" si="173"/>
        <v>5.1399863782592153E-13</v>
      </c>
      <c r="CW168" s="20">
        <f t="shared" si="174"/>
        <v>9.4695288984349312E-13</v>
      </c>
      <c r="CX168" s="59">
        <f t="shared" si="122"/>
        <v>293.33333333333428</v>
      </c>
      <c r="CY168" s="59">
        <f ca="1">AVERAGE(OFFSET($CX$3,0,0,'Données projet'!$E$13+1,1))-AVERAGE(OFFSET($H$3,0,0,'Données projet'!$E$13+1,1))</f>
        <v>177.94336949486529</v>
      </c>
      <c r="CZ168" s="59">
        <f t="shared" si="150"/>
        <v>65.559373432574603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3.3992364478763198E-14</v>
      </c>
      <c r="DQ168" s="13">
        <f t="shared" si="176"/>
        <v>5.790027782444094E-13</v>
      </c>
      <c r="DR168" s="20">
        <f t="shared" si="177"/>
        <v>1.0676332069095257E-12</v>
      </c>
      <c r="DS168" s="59">
        <f t="shared" si="125"/>
        <v>293.33333333333439</v>
      </c>
      <c r="DT168" s="59">
        <f ca="1">AVERAGE(OFFSET($DS$3,0,0,'Données projet'!$E$14+1,1))-AVERAGE(OFFSET($H$3,0,0,'Données projet'!$E$14+1,1))</f>
        <v>165.39579887388538</v>
      </c>
      <c r="DU168" s="59">
        <f t="shared" si="152"/>
        <v>155.89639262545802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0.17263171321017881</v>
      </c>
      <c r="EC168" s="21">
        <f>EXP(-LN(2)/2)*EC167+(1-EXP(-LN(2)/2))/(LN(2)/2)*DW168*DZ168*VLOOKUP('Données projet'!$B$14,Paramètres!$A$1:$I$89,3,0)*0.475*44/12</f>
        <v>6.6506773176198296E-20</v>
      </c>
      <c r="ED168" s="22">
        <f t="shared" si="178"/>
        <v>0.17263171321017881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-1.1368683772161603E-12</v>
      </c>
      <c r="EK168" s="17">
        <f>EJ168*VLOOKUP('Données projet'!$B$15,Paramètres!$A$1:$I$89,3,0)*VLOOKUP('Données projet'!$B$15,Paramètres!$A$1:$I$89,5,0)</f>
        <v>-5.4683368944097316E-13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252.30925789500111</v>
      </c>
      <c r="EP168" s="59">
        <f t="shared" si="154"/>
        <v>213.96033794804805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0.31966446107123547</v>
      </c>
      <c r="EW168" s="21">
        <f>EXP(-LN(2)/25)*EW167+(1-EXP(-LN(2)/25))/(LN(2)/25)*Calculateur!ER168*Calculateur!ET168*VLOOKUP('Données projet'!$B$15,Paramètres!$A$1:$I$89,3,0)*0.475*44/12</f>
        <v>0.21855699683053281</v>
      </c>
      <c r="EX168" s="21">
        <f>EXP(-LN(2)/2)*EX167+(1-EXP(-LN(2)/2))/(LN(2)/2)*ER168*EU168*VLOOKUP('Données projet'!$B$15,Paramètres!$A$1:$I$89,3,0)*0.475*44/12</f>
        <v>6.8890579044019646E-20</v>
      </c>
      <c r="EY168" s="22">
        <f t="shared" si="181"/>
        <v>0.53822145790176834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-1.1368683772161603E-12</v>
      </c>
      <c r="FF168" s="17">
        <f>FE168*VLOOKUP('Données projet'!$B$16,Paramètres!$A$1:$I$89,3,0)*VLOOKUP('Données projet'!$B$16,Paramètres!$A$1:$I$89,5,0)</f>
        <v>-5.4683368944097316E-13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252.30925789500111</v>
      </c>
      <c r="FK168" s="59">
        <f t="shared" si="156"/>
        <v>213.96033794804805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0.31966446107123547</v>
      </c>
      <c r="FR168" s="21">
        <f>EXP(-LN(2)/25)*FR167+(1-EXP(-LN(2)/25))/(LN(2)/25)*Calculateur!FM168*Calculateur!FO168*VLOOKUP('Données projet'!$B$16,Paramètres!$A$1:$I$89,3,0)*0.475*44/12</f>
        <v>0.21855699683053281</v>
      </c>
      <c r="FS168" s="21">
        <f>EXP(-LN(2)/2)*FS167+(1-EXP(-LN(2)/2))/(LN(2)/2)*FM168*FP168*VLOOKUP('Données projet'!$B$16,Paramètres!$A$1:$I$89,3,0)*0.475*44/12</f>
        <v>6.8890579044019646E-20</v>
      </c>
      <c r="FT168" s="22">
        <f t="shared" si="184"/>
        <v>0.53822145790176834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117.54638373164624</v>
      </c>
      <c r="GF168" s="59">
        <f t="shared" si="158"/>
        <v>133.0740262536583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0.15266098607231046</v>
      </c>
      <c r="GM168" s="21">
        <f>EXP(-LN(2)/25)*GM167+(1-EXP(-LN(2)/25))/(LN(2)/25)*Calculateur!GH168*Calculateur!GJ168*VLOOKUP('Données projet'!$B$17,Paramètres!$A$1:$I$89,3,0)*0.475*44/12</f>
        <v>0.20499093668313556</v>
      </c>
      <c r="GN168" s="21">
        <f>EXP(-LN(2)/2)*GN167+(1-EXP(-LN(2)/2))/(LN(2)/2)*GH168*GK168*VLOOKUP('Données projet'!$B$17,Paramètres!$A$1:$I$89,3,0)*0.475*44/12</f>
        <v>1.9384291206233403E-20</v>
      </c>
      <c r="GO168" s="21">
        <f t="shared" si="187"/>
        <v>0.35765192275544599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2.8421709430404007E-14</v>
      </c>
      <c r="GV168" s="17">
        <f>GU168*VLOOKUP('Données projet'!$B$18,Paramètres!$A$1:$I$89,3,0)*VLOOKUP('Données projet'!$B$18,Paramètres!$A$1:$I$89,5,0)</f>
        <v>1.3567387213697657E-14</v>
      </c>
      <c r="GW168" s="13">
        <f t="shared" si="188"/>
        <v>2.5717320947985821E-13</v>
      </c>
      <c r="GX168" s="20">
        <f t="shared" si="189"/>
        <v>4.7153987257460977E-13</v>
      </c>
      <c r="GY168" s="59">
        <f t="shared" si="137"/>
        <v>293.33333333333377</v>
      </c>
      <c r="GZ168" s="59">
        <f ca="1">AVERAGE(OFFSET($GY$3,0,0,'Données projet'!$E$18+1,1))-AVERAGE(OFFSET($H$3,0,0,'Données projet'!$E$18+1,1))</f>
        <v>43.147469606759159</v>
      </c>
      <c r="HA168" s="59">
        <f t="shared" si="160"/>
        <v>147.46995307968473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2.4884832557771621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2.6409994787230144E-21</v>
      </c>
      <c r="HJ168" s="22">
        <f t="shared" si="190"/>
        <v>2.4884832557771621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2.8421709430404007E-14</v>
      </c>
      <c r="O169" s="13">
        <f>N169*VLOOKUP('Données projet'!$B$9,Paramètres!$A$1:$I$89,3,0)*VLOOKUP('Données projet'!$B$9,Paramètres!$A$1:$I$89,5,0)</f>
        <v>2.5715962692629544E-14</v>
      </c>
      <c r="P169" s="13">
        <f t="shared" si="141"/>
        <v>4.5248818890525812E-13</v>
      </c>
      <c r="Q169" s="20">
        <f t="shared" si="162"/>
        <v>8.3287223069965432E-13</v>
      </c>
      <c r="R169" s="59">
        <f t="shared" si="109"/>
        <v>293.33333333333417</v>
      </c>
      <c r="S169" s="59">
        <f ca="1">AVERAGE(OFFSET($R$3,0,0,'Données projet'!$E$9+1,1))-AVERAGE(OFFSET($H$3,0,0,'Données projet'!$E$9+1,1))</f>
        <v>138.8931001150624</v>
      </c>
      <c r="T169" s="59">
        <f t="shared" si="142"/>
        <v>48.964659354096625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-7.4487616075202836E-14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191.94797389630673</v>
      </c>
      <c r="AO169" s="59">
        <f t="shared" si="144"/>
        <v>273.52540822767878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0.32360557266361428</v>
      </c>
      <c r="AW169" s="21">
        <f>EXP(-LN(2)/2)*AW168+(1-EXP(-LN(2)/2))/(LN(2)/2)*AQ169*AT169*VLOOKUP('Données projet'!$B$10,Paramètres!$A$1:$I$89,3,0)*0.475*44/12</f>
        <v>7.8615035080698085E-20</v>
      </c>
      <c r="AX169" s="21">
        <f t="shared" si="166"/>
        <v>0.49778759405269446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3.5470293369144201E-14</v>
      </c>
      <c r="BF169" s="13">
        <f t="shared" si="167"/>
        <v>6.0119115841663204E-13</v>
      </c>
      <c r="BG169" s="20">
        <f t="shared" si="168"/>
        <v>1.1088520285268936E-12</v>
      </c>
      <c r="BH169" s="59">
        <f t="shared" si="116"/>
        <v>293.33333333333445</v>
      </c>
      <c r="BI169" s="59">
        <f ca="1">AVERAGE(OFFSET($BH$3,0,0,'Données projet'!$E$11+1,1))-AVERAGE(OFFSET($H$3,0,0,'Données projet'!$E$11+1,1))</f>
        <v>162.91481796710048</v>
      </c>
      <c r="BJ169" s="59">
        <f t="shared" si="146"/>
        <v>182.56192390367823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0.18816362400620815</v>
      </c>
      <c r="BQ169" s="21">
        <f>EXP(-LN(2)/25)*BQ168+(1-EXP(-LN(2)/25))/(LN(2)/25)*Calculateur!BL169*Calculateur!BN169*VLOOKUP('Données projet'!$B$11,Paramètres!$A$1:$I$89,3,0)*0.475*44/12</f>
        <v>0.35194947488561834</v>
      </c>
      <c r="BR169" s="21">
        <f>EXP(-LN(2)/2)*BR168+(1-EXP(-LN(2)/2))/(LN(2)/2)*BL169*BO169*VLOOKUP('Données projet'!$B$11,Paramètres!$A$1:$I$89,3,0)*0.475*44/12</f>
        <v>6.0883764005500043E-20</v>
      </c>
      <c r="BS169" s="22">
        <f t="shared" si="169"/>
        <v>0.54011309889182646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-5.3205440053716299E-14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123.60520571614535</v>
      </c>
      <c r="CE169" s="59">
        <f t="shared" si="148"/>
        <v>119.00926870519527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5.8675130075150218E-2</v>
      </c>
      <c r="CL169" s="21">
        <f>EXP(-LN(2)/25)*CL168+(1-EXP(-LN(2)/25))/(LN(2)/25)*Calculateur!CG169*Calculateur!CI169*VLOOKUP('Données projet'!$B$12,Paramètres!$A$1:$I$89,3,0)*0.475*44/12</f>
        <v>0.11003480589805874</v>
      </c>
      <c r="CM169" s="21">
        <f>EXP(-LN(2)/2)*CM168+(1-EXP(-LN(2)/2))/(LN(2)/2)*CG169*CJ169*VLOOKUP('Données projet'!$B$12,Paramètres!$A$1:$I$89,3,0)*0.475*44/12</f>
        <v>2.0714056863684738E-20</v>
      </c>
      <c r="CN169" s="22">
        <f t="shared" si="172"/>
        <v>0.16870993597320896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2.9706370696658272E-14</v>
      </c>
      <c r="CV169" s="13">
        <f t="shared" si="173"/>
        <v>5.1399863782592153E-13</v>
      </c>
      <c r="CW169" s="20">
        <f t="shared" si="174"/>
        <v>9.4695288984349312E-13</v>
      </c>
      <c r="CX169" s="59">
        <f t="shared" si="122"/>
        <v>293.33333333333428</v>
      </c>
      <c r="CY169" s="59">
        <f ca="1">AVERAGE(OFFSET($CX$3,0,0,'Données projet'!$E$13+1,1))-AVERAGE(OFFSET($H$3,0,0,'Données projet'!$E$13+1,1))</f>
        <v>177.94336949486529</v>
      </c>
      <c r="CZ169" s="59">
        <f t="shared" si="150"/>
        <v>65.559373432574603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3.3992364478763198E-14</v>
      </c>
      <c r="DQ169" s="13">
        <f t="shared" si="176"/>
        <v>5.790027782444094E-13</v>
      </c>
      <c r="DR169" s="20">
        <f t="shared" si="177"/>
        <v>1.0676332069095257E-12</v>
      </c>
      <c r="DS169" s="59">
        <f t="shared" si="125"/>
        <v>293.33333333333439</v>
      </c>
      <c r="DT169" s="59">
        <f ca="1">AVERAGE(OFFSET($DS$3,0,0,'Données projet'!$E$14+1,1))-AVERAGE(OFFSET($H$3,0,0,'Données projet'!$E$14+1,1))</f>
        <v>165.39579887388538</v>
      </c>
      <c r="DU169" s="59">
        <f t="shared" si="152"/>
        <v>155.89639262545802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0.16791108993413922</v>
      </c>
      <c r="EC169" s="21">
        <f>EXP(-LN(2)/2)*EC168+(1-EXP(-LN(2)/2))/(LN(2)/2)*DW169*DZ169*VLOOKUP('Données projet'!$B$14,Paramètres!$A$1:$I$89,3,0)*0.475*44/12</f>
        <v>4.7027390307725397E-20</v>
      </c>
      <c r="ED169" s="22">
        <f t="shared" si="178"/>
        <v>0.16791108993413922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-1.1368683772161603E-12</v>
      </c>
      <c r="EK169" s="17">
        <f>EJ169*VLOOKUP('Données projet'!$B$15,Paramètres!$A$1:$I$89,3,0)*VLOOKUP('Données projet'!$B$15,Paramètres!$A$1:$I$89,5,0)</f>
        <v>-5.4683368944097316E-13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252.30925789500111</v>
      </c>
      <c r="EP169" s="59">
        <f t="shared" si="154"/>
        <v>213.96033794804805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0.31339603596569748</v>
      </c>
      <c r="EW169" s="21">
        <f>EXP(-LN(2)/25)*EW168+(1-EXP(-LN(2)/25))/(LN(2)/25)*Calculateur!ER169*Calculateur!ET169*VLOOKUP('Données projet'!$B$15,Paramètres!$A$1:$I$89,3,0)*0.475*44/12</f>
        <v>0.21258054425878894</v>
      </c>
      <c r="EX169" s="21">
        <f>EXP(-LN(2)/2)*EX168+(1-EXP(-LN(2)/2))/(LN(2)/2)*ER169*EU169*VLOOKUP('Données projet'!$B$15,Paramètres!$A$1:$I$89,3,0)*0.475*44/12</f>
        <v>4.8712995601894157E-20</v>
      </c>
      <c r="EY169" s="22">
        <f t="shared" si="181"/>
        <v>0.52597658022448646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-1.1368683772161603E-12</v>
      </c>
      <c r="FF169" s="17">
        <f>FE169*VLOOKUP('Données projet'!$B$16,Paramètres!$A$1:$I$89,3,0)*VLOOKUP('Données projet'!$B$16,Paramètres!$A$1:$I$89,5,0)</f>
        <v>-5.4683368944097316E-13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252.30925789500111</v>
      </c>
      <c r="FK169" s="59">
        <f t="shared" si="156"/>
        <v>213.96033794804805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0.31339603596569748</v>
      </c>
      <c r="FR169" s="21">
        <f>EXP(-LN(2)/25)*FR168+(1-EXP(-LN(2)/25))/(LN(2)/25)*Calculateur!FM169*Calculateur!FO169*VLOOKUP('Données projet'!$B$16,Paramètres!$A$1:$I$89,3,0)*0.475*44/12</f>
        <v>0.21258054425878894</v>
      </c>
      <c r="FS169" s="21">
        <f>EXP(-LN(2)/2)*FS168+(1-EXP(-LN(2)/2))/(LN(2)/2)*FM169*FP169*VLOOKUP('Données projet'!$B$16,Paramètres!$A$1:$I$89,3,0)*0.475*44/12</f>
        <v>4.8712995601894157E-20</v>
      </c>
      <c r="FT169" s="22">
        <f t="shared" si="184"/>
        <v>0.52597658022448646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117.54638373164624</v>
      </c>
      <c r="GF169" s="59">
        <f t="shared" si="158"/>
        <v>133.0740262536583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0.14966739724943973</v>
      </c>
      <c r="GM169" s="21">
        <f>EXP(-LN(2)/25)*GM168+(1-EXP(-LN(2)/25))/(LN(2)/25)*Calculateur!GH169*Calculateur!GJ169*VLOOKUP('Données projet'!$B$17,Paramètres!$A$1:$I$89,3,0)*0.475*44/12</f>
        <v>0.19938544873953037</v>
      </c>
      <c r="GN169" s="21">
        <f>EXP(-LN(2)/2)*GN168+(1-EXP(-LN(2)/2))/(LN(2)/2)*GH169*GK169*VLOOKUP('Données projet'!$B$17,Paramètres!$A$1:$I$89,3,0)*0.475*44/12</f>
        <v>1.37067637604224E-20</v>
      </c>
      <c r="GO169" s="21">
        <f t="shared" si="187"/>
        <v>0.34905284598897013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2.8421709430404007E-14</v>
      </c>
      <c r="GV169" s="17">
        <f>GU169*VLOOKUP('Données projet'!$B$18,Paramètres!$A$1:$I$89,3,0)*VLOOKUP('Données projet'!$B$18,Paramètres!$A$1:$I$89,5,0)</f>
        <v>1.3567387213697657E-14</v>
      </c>
      <c r="GW169" s="13">
        <f t="shared" si="188"/>
        <v>2.5717320947985821E-13</v>
      </c>
      <c r="GX169" s="20">
        <f t="shared" si="189"/>
        <v>4.7153987257460977E-13</v>
      </c>
      <c r="GY169" s="59">
        <f t="shared" si="137"/>
        <v>293.33333333333377</v>
      </c>
      <c r="GZ169" s="59">
        <f ca="1">AVERAGE(OFFSET($GY$3,0,0,'Données projet'!$E$18+1,1))-AVERAGE(OFFSET($H$3,0,0,'Données projet'!$E$18+1,1))</f>
        <v>43.147469606759159</v>
      </c>
      <c r="HA169" s="59">
        <f t="shared" si="160"/>
        <v>147.46995307968473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2.4396856169562851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1.8674686405151806E-21</v>
      </c>
      <c r="HJ169" s="22">
        <f t="shared" si="190"/>
        <v>2.4396856169562851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2.8421709430404007E-14</v>
      </c>
      <c r="O170" s="13">
        <f>N170*VLOOKUP('Données projet'!$B$9,Paramètres!$A$1:$I$89,3,0)*VLOOKUP('Données projet'!$B$9,Paramètres!$A$1:$I$89,5,0)</f>
        <v>2.5715962692629544E-14</v>
      </c>
      <c r="P170" s="13">
        <f t="shared" si="141"/>
        <v>4.5248818890525812E-13</v>
      </c>
      <c r="Q170" s="20">
        <f t="shared" si="162"/>
        <v>8.3287223069965432E-13</v>
      </c>
      <c r="R170" s="59">
        <f t="shared" si="109"/>
        <v>293.33333333333417</v>
      </c>
      <c r="S170" s="59">
        <f ca="1">AVERAGE(OFFSET($R$3,0,0,'Données projet'!$E$9+1,1))-AVERAGE(OFFSET($H$3,0,0,'Données projet'!$E$9+1,1))</f>
        <v>138.8931001150624</v>
      </c>
      <c r="T170" s="59">
        <f t="shared" si="142"/>
        <v>48.964659354096625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-7.4487616075202836E-14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191.94797389630673</v>
      </c>
      <c r="AO170" s="59">
        <f t="shared" si="144"/>
        <v>273.52540822767878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0.3147565612614503</v>
      </c>
      <c r="AW170" s="21">
        <f>EXP(-LN(2)/2)*AW169+(1-EXP(-LN(2)/2))/(LN(2)/2)*AQ170*AT170*VLOOKUP('Données projet'!$B$10,Paramètres!$A$1:$I$89,3,0)*0.475*44/12</f>
        <v>5.5589224408779937E-20</v>
      </c>
      <c r="AX170" s="21">
        <f t="shared" si="166"/>
        <v>0.48552297945163331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3.5470293369144201E-14</v>
      </c>
      <c r="BF170" s="13">
        <f t="shared" si="167"/>
        <v>6.0119115841663204E-13</v>
      </c>
      <c r="BG170" s="20">
        <f t="shared" si="168"/>
        <v>1.1088520285268936E-12</v>
      </c>
      <c r="BH170" s="59">
        <f t="shared" si="116"/>
        <v>293.33333333333445</v>
      </c>
      <c r="BI170" s="59">
        <f ca="1">AVERAGE(OFFSET($BH$3,0,0,'Données projet'!$E$11+1,1))-AVERAGE(OFFSET($H$3,0,0,'Données projet'!$E$11+1,1))</f>
        <v>162.91481796710048</v>
      </c>
      <c r="BJ170" s="59">
        <f t="shared" si="146"/>
        <v>182.56192390367823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0.18447385010792461</v>
      </c>
      <c r="BQ170" s="21">
        <f>EXP(-LN(2)/25)*BQ169+(1-EXP(-LN(2)/25))/(LN(2)/25)*Calculateur!BL170*Calculateur!BN170*VLOOKUP('Données projet'!$B$11,Paramètres!$A$1:$I$89,3,0)*0.475*44/12</f>
        <v>0.34232539798665262</v>
      </c>
      <c r="BR170" s="21">
        <f>EXP(-LN(2)/2)*BR169+(1-EXP(-LN(2)/2))/(LN(2)/2)*BL170*BO170*VLOOKUP('Données projet'!$B$11,Paramètres!$A$1:$I$89,3,0)*0.475*44/12</f>
        <v>4.3051322392450518E-20</v>
      </c>
      <c r="BS170" s="22">
        <f t="shared" si="169"/>
        <v>0.52679924809457723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-5.3205440053716299E-14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123.60520571614535</v>
      </c>
      <c r="CE170" s="59">
        <f t="shared" si="148"/>
        <v>119.00926870519527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5.7524546562672065E-2</v>
      </c>
      <c r="CL170" s="21">
        <f>EXP(-LN(2)/25)*CL169+(1-EXP(-LN(2)/25))/(LN(2)/25)*Calculateur!CG170*Calculateur!CI170*VLOOKUP('Données projet'!$B$12,Paramètres!$A$1:$I$89,3,0)*0.475*44/12</f>
        <v>0.10702589834429736</v>
      </c>
      <c r="CM170" s="21">
        <f>EXP(-LN(2)/2)*CM169+(1-EXP(-LN(2)/2))/(LN(2)/2)*CG170*CJ170*VLOOKUP('Données projet'!$B$12,Paramètres!$A$1:$I$89,3,0)*0.475*44/12</f>
        <v>1.4647050074195226E-20</v>
      </c>
      <c r="CN170" s="22">
        <f t="shared" si="172"/>
        <v>0.16455044490696943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2.9706370696658272E-14</v>
      </c>
      <c r="CV170" s="13">
        <f t="shared" si="173"/>
        <v>5.1399863782592153E-13</v>
      </c>
      <c r="CW170" s="20">
        <f t="shared" si="174"/>
        <v>9.4695288984349312E-13</v>
      </c>
      <c r="CX170" s="59">
        <f t="shared" si="122"/>
        <v>293.33333333333428</v>
      </c>
      <c r="CY170" s="59">
        <f ca="1">AVERAGE(OFFSET($CX$3,0,0,'Données projet'!$E$13+1,1))-AVERAGE(OFFSET($H$3,0,0,'Données projet'!$E$13+1,1))</f>
        <v>177.94336949486529</v>
      </c>
      <c r="CZ170" s="59">
        <f t="shared" si="150"/>
        <v>65.559373432574603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3.3992364478763198E-14</v>
      </c>
      <c r="DQ170" s="13">
        <f t="shared" si="176"/>
        <v>5.790027782444094E-13</v>
      </c>
      <c r="DR170" s="20">
        <f t="shared" si="177"/>
        <v>1.0676332069095257E-12</v>
      </c>
      <c r="DS170" s="59">
        <f t="shared" si="125"/>
        <v>293.33333333333439</v>
      </c>
      <c r="DT170" s="59">
        <f ca="1">AVERAGE(OFFSET($DS$3,0,0,'Données projet'!$E$14+1,1))-AVERAGE(OFFSET($H$3,0,0,'Données projet'!$E$14+1,1))</f>
        <v>165.39579887388538</v>
      </c>
      <c r="DU170" s="59">
        <f t="shared" si="152"/>
        <v>155.89639262545802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0.16331955234982973</v>
      </c>
      <c r="EC170" s="21">
        <f>EXP(-LN(2)/2)*EC169+(1-EXP(-LN(2)/2))/(LN(2)/2)*DW170*DZ170*VLOOKUP('Données projet'!$B$14,Paramètres!$A$1:$I$89,3,0)*0.475*44/12</f>
        <v>3.3253386588099148E-20</v>
      </c>
      <c r="ED170" s="22">
        <f t="shared" si="178"/>
        <v>0.16331955234982973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-1.1368683772161603E-12</v>
      </c>
      <c r="EK170" s="17">
        <f>EJ170*VLOOKUP('Données projet'!$B$15,Paramètres!$A$1:$I$89,3,0)*VLOOKUP('Données projet'!$B$15,Paramètres!$A$1:$I$89,5,0)</f>
        <v>-5.4683368944097316E-13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252.30925789500111</v>
      </c>
      <c r="EP170" s="59">
        <f t="shared" si="154"/>
        <v>213.96033794804805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0.30725053085311732</v>
      </c>
      <c r="EW170" s="21">
        <f>EXP(-LN(2)/25)*EW169+(1-EXP(-LN(2)/25))/(LN(2)/25)*Calculateur!ER170*Calculateur!ET170*VLOOKUP('Données projet'!$B$15,Paramètres!$A$1:$I$89,3,0)*0.475*44/12</f>
        <v>0.20676751809690741</v>
      </c>
      <c r="EX170" s="21">
        <f>EXP(-LN(2)/2)*EX169+(1-EXP(-LN(2)/2))/(LN(2)/2)*ER170*EU170*VLOOKUP('Données projet'!$B$15,Paramètres!$A$1:$I$89,3,0)*0.475*44/12</f>
        <v>3.4445289522009823E-20</v>
      </c>
      <c r="EY170" s="22">
        <f t="shared" si="181"/>
        <v>0.51401804895002479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-1.1368683772161603E-12</v>
      </c>
      <c r="FF170" s="17">
        <f>FE170*VLOOKUP('Données projet'!$B$16,Paramètres!$A$1:$I$89,3,0)*VLOOKUP('Données projet'!$B$16,Paramètres!$A$1:$I$89,5,0)</f>
        <v>-5.4683368944097316E-13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252.30925789500111</v>
      </c>
      <c r="FK170" s="59">
        <f t="shared" si="156"/>
        <v>213.96033794804805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0.30725053085311732</v>
      </c>
      <c r="FR170" s="21">
        <f>EXP(-LN(2)/25)*FR169+(1-EXP(-LN(2)/25))/(LN(2)/25)*Calculateur!FM170*Calculateur!FO170*VLOOKUP('Données projet'!$B$16,Paramètres!$A$1:$I$89,3,0)*0.475*44/12</f>
        <v>0.20676751809690741</v>
      </c>
      <c r="FS170" s="21">
        <f>EXP(-LN(2)/2)*FS169+(1-EXP(-LN(2)/2))/(LN(2)/2)*FM170*FP170*VLOOKUP('Données projet'!$B$16,Paramètres!$A$1:$I$89,3,0)*0.475*44/12</f>
        <v>3.4445289522009823E-20</v>
      </c>
      <c r="FT170" s="22">
        <f t="shared" si="184"/>
        <v>0.51401804895002479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117.54638373164624</v>
      </c>
      <c r="GF170" s="59">
        <f t="shared" si="158"/>
        <v>133.0740262536583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0.14673251087747657</v>
      </c>
      <c r="GM170" s="21">
        <f>EXP(-LN(2)/25)*GM169+(1-EXP(-LN(2)/25))/(LN(2)/25)*Calculateur!GH170*Calculateur!GJ170*VLOOKUP('Données projet'!$B$17,Paramètres!$A$1:$I$89,3,0)*0.475*44/12</f>
        <v>0.19393324315852287</v>
      </c>
      <c r="GN170" s="21">
        <f>EXP(-LN(2)/2)*GN169+(1-EXP(-LN(2)/2))/(LN(2)/2)*GH170*GK170*VLOOKUP('Données projet'!$B$17,Paramètres!$A$1:$I$89,3,0)*0.475*44/12</f>
        <v>9.6921456031167016E-21</v>
      </c>
      <c r="GO170" s="21">
        <f t="shared" si="187"/>
        <v>0.34066575403599941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2.8421709430404007E-14</v>
      </c>
      <c r="GV170" s="17">
        <f>GU170*VLOOKUP('Données projet'!$B$18,Paramètres!$A$1:$I$89,3,0)*VLOOKUP('Données projet'!$B$18,Paramètres!$A$1:$I$89,5,0)</f>
        <v>1.3567387213697657E-14</v>
      </c>
      <c r="GW170" s="13">
        <f t="shared" si="188"/>
        <v>2.5717320947985821E-13</v>
      </c>
      <c r="GX170" s="20">
        <f t="shared" si="189"/>
        <v>4.7153987257460977E-13</v>
      </c>
      <c r="GY170" s="59">
        <f t="shared" si="137"/>
        <v>293.33333333333377</v>
      </c>
      <c r="GZ170" s="59">
        <f ca="1">AVERAGE(OFFSET($GY$3,0,0,'Données projet'!$E$18+1,1))-AVERAGE(OFFSET($H$3,0,0,'Données projet'!$E$18+1,1))</f>
        <v>43.147469606759159</v>
      </c>
      <c r="HA170" s="59">
        <f t="shared" si="160"/>
        <v>147.46995307968473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2.3918448700690647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1.3204997393615072E-21</v>
      </c>
      <c r="HJ170" s="22">
        <f t="shared" si="190"/>
        <v>2.3918448700690647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2.8421709430404007E-14</v>
      </c>
      <c r="O171" s="13">
        <f>N171*VLOOKUP('Données projet'!$B$9,Paramètres!$A$1:$I$89,3,0)*VLOOKUP('Données projet'!$B$9,Paramètres!$A$1:$I$89,5,0)</f>
        <v>2.5715962692629544E-14</v>
      </c>
      <c r="P171" s="13">
        <f t="shared" si="141"/>
        <v>4.5248818890525812E-13</v>
      </c>
      <c r="Q171" s="20">
        <f t="shared" si="162"/>
        <v>8.3287223069965432E-13</v>
      </c>
      <c r="R171" s="59">
        <f t="shared" si="109"/>
        <v>293.33333333333417</v>
      </c>
      <c r="S171" s="59">
        <f ca="1">AVERAGE(OFFSET($R$3,0,0,'Données projet'!$E$9+1,1))-AVERAGE(OFFSET($H$3,0,0,'Données projet'!$E$9+1,1))</f>
        <v>138.8931001150624</v>
      </c>
      <c r="T171" s="59">
        <f t="shared" si="142"/>
        <v>48.964659354096625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-7.4487616075202836E-14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191.94797389630673</v>
      </c>
      <c r="AO171" s="59">
        <f t="shared" si="144"/>
        <v>273.52540822767878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0.30614952654142774</v>
      </c>
      <c r="AW171" s="21">
        <f>EXP(-LN(2)/2)*AW170+(1-EXP(-LN(2)/2))/(LN(2)/2)*AQ171*AT171*VLOOKUP('Données projet'!$B$10,Paramètres!$A$1:$I$89,3,0)*0.475*44/12</f>
        <v>3.9307517540349043E-20</v>
      </c>
      <c r="AX171" s="21">
        <f t="shared" si="166"/>
        <v>0.47356731942813168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3.5470293369144201E-14</v>
      </c>
      <c r="BF171" s="13">
        <f t="shared" si="167"/>
        <v>6.0119115841663204E-13</v>
      </c>
      <c r="BG171" s="20">
        <f t="shared" si="168"/>
        <v>1.1088520285268936E-12</v>
      </c>
      <c r="BH171" s="59">
        <f t="shared" si="116"/>
        <v>293.33333333333445</v>
      </c>
      <c r="BI171" s="59">
        <f ca="1">AVERAGE(OFFSET($BH$3,0,0,'Données projet'!$E$11+1,1))-AVERAGE(OFFSET($H$3,0,0,'Données projet'!$E$11+1,1))</f>
        <v>162.91481796710048</v>
      </c>
      <c r="BJ171" s="59">
        <f t="shared" si="146"/>
        <v>182.56192390367823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0.18085643042524654</v>
      </c>
      <c r="BQ171" s="21">
        <f>EXP(-LN(2)/25)*BQ170+(1-EXP(-LN(2)/25))/(LN(2)/25)*Calculateur!BL171*Calculateur!BN171*VLOOKUP('Données projet'!$B$11,Paramètres!$A$1:$I$89,3,0)*0.475*44/12</f>
        <v>0.33296449197659733</v>
      </c>
      <c r="BR171" s="21">
        <f>EXP(-LN(2)/2)*BR170+(1-EXP(-LN(2)/2))/(LN(2)/2)*BL171*BO171*VLOOKUP('Données projet'!$B$11,Paramètres!$A$1:$I$89,3,0)*0.475*44/12</f>
        <v>3.0441882002750022E-20</v>
      </c>
      <c r="BS171" s="22">
        <f t="shared" si="169"/>
        <v>0.51382092240184385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-5.3205440053716299E-14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123.60520571614535</v>
      </c>
      <c r="CE171" s="59">
        <f t="shared" si="148"/>
        <v>119.00926870519527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5.6396525291086963E-2</v>
      </c>
      <c r="CL171" s="21">
        <f>EXP(-LN(2)/25)*CL170+(1-EXP(-LN(2)/25))/(LN(2)/25)*Calculateur!CG171*Calculateur!CI171*VLOOKUP('Données projet'!$B$12,Paramètres!$A$1:$I$89,3,0)*0.475*44/12</f>
        <v>0.10409926952582517</v>
      </c>
      <c r="CM171" s="21">
        <f>EXP(-LN(2)/2)*CM170+(1-EXP(-LN(2)/2))/(LN(2)/2)*CG171*CJ171*VLOOKUP('Données projet'!$B$12,Paramètres!$A$1:$I$89,3,0)*0.475*44/12</f>
        <v>1.0357028431842369E-20</v>
      </c>
      <c r="CN171" s="22">
        <f t="shared" si="172"/>
        <v>0.16049579481691212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2.9706370696658272E-14</v>
      </c>
      <c r="CV171" s="13">
        <f t="shared" si="173"/>
        <v>5.1399863782592153E-13</v>
      </c>
      <c r="CW171" s="20">
        <f t="shared" si="174"/>
        <v>9.4695288984349312E-13</v>
      </c>
      <c r="CX171" s="59">
        <f t="shared" si="122"/>
        <v>293.33333333333428</v>
      </c>
      <c r="CY171" s="59">
        <f ca="1">AVERAGE(OFFSET($CX$3,0,0,'Données projet'!$E$13+1,1))-AVERAGE(OFFSET($H$3,0,0,'Données projet'!$E$13+1,1))</f>
        <v>177.94336949486529</v>
      </c>
      <c r="CZ171" s="59">
        <f t="shared" si="150"/>
        <v>65.559373432574603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3.3992364478763198E-14</v>
      </c>
      <c r="DQ171" s="13">
        <f t="shared" si="176"/>
        <v>5.790027782444094E-13</v>
      </c>
      <c r="DR171" s="20">
        <f t="shared" si="177"/>
        <v>1.0676332069095257E-12</v>
      </c>
      <c r="DS171" s="59">
        <f t="shared" si="125"/>
        <v>293.33333333333439</v>
      </c>
      <c r="DT171" s="59">
        <f ca="1">AVERAGE(OFFSET($DS$3,0,0,'Données projet'!$E$14+1,1))-AVERAGE(OFFSET($H$3,0,0,'Données projet'!$E$14+1,1))</f>
        <v>165.39579887388538</v>
      </c>
      <c r="DU171" s="59">
        <f t="shared" si="152"/>
        <v>155.89639262545802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0.15885357060222166</v>
      </c>
      <c r="EC171" s="21">
        <f>EXP(-LN(2)/2)*EC170+(1-EXP(-LN(2)/2))/(LN(2)/2)*DW171*DZ171*VLOOKUP('Données projet'!$B$14,Paramètres!$A$1:$I$89,3,0)*0.475*44/12</f>
        <v>2.3513695153862699E-20</v>
      </c>
      <c r="ED171" s="22">
        <f t="shared" si="178"/>
        <v>0.15885357060222166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-1.1368683772161603E-12</v>
      </c>
      <c r="EK171" s="17">
        <f>EJ171*VLOOKUP('Données projet'!$B$15,Paramètres!$A$1:$I$89,3,0)*VLOOKUP('Données projet'!$B$15,Paramètres!$A$1:$I$89,5,0)</f>
        <v>-5.4683368944097316E-13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252.30925789500111</v>
      </c>
      <c r="EP171" s="59">
        <f t="shared" si="154"/>
        <v>213.96033794804805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0.30122553534740687</v>
      </c>
      <c r="EW171" s="21">
        <f>EXP(-LN(2)/25)*EW170+(1-EXP(-LN(2)/25))/(LN(2)/25)*Calculateur!ER171*Calculateur!ET171*VLOOKUP('Données projet'!$B$15,Paramètres!$A$1:$I$89,3,0)*0.475*44/12</f>
        <v>0.20111344944111628</v>
      </c>
      <c r="EX171" s="21">
        <f>EXP(-LN(2)/2)*EX170+(1-EXP(-LN(2)/2))/(LN(2)/2)*ER171*EU171*VLOOKUP('Données projet'!$B$15,Paramètres!$A$1:$I$89,3,0)*0.475*44/12</f>
        <v>2.4356497800947079E-20</v>
      </c>
      <c r="EY171" s="22">
        <f t="shared" si="181"/>
        <v>0.50233898478852312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-1.1368683772161603E-12</v>
      </c>
      <c r="FF171" s="17">
        <f>FE171*VLOOKUP('Données projet'!$B$16,Paramètres!$A$1:$I$89,3,0)*VLOOKUP('Données projet'!$B$16,Paramètres!$A$1:$I$89,5,0)</f>
        <v>-5.4683368944097316E-13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252.30925789500111</v>
      </c>
      <c r="FK171" s="59">
        <f t="shared" si="156"/>
        <v>213.96033794804805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0.30122553534740687</v>
      </c>
      <c r="FR171" s="21">
        <f>EXP(-LN(2)/25)*FR170+(1-EXP(-LN(2)/25))/(LN(2)/25)*Calculateur!FM171*Calculateur!FO171*VLOOKUP('Données projet'!$B$16,Paramètres!$A$1:$I$89,3,0)*0.475*44/12</f>
        <v>0.20111344944111628</v>
      </c>
      <c r="FS171" s="21">
        <f>EXP(-LN(2)/2)*FS170+(1-EXP(-LN(2)/2))/(LN(2)/2)*FM171*FP171*VLOOKUP('Données projet'!$B$16,Paramètres!$A$1:$I$89,3,0)*0.475*44/12</f>
        <v>2.4356497800947079E-20</v>
      </c>
      <c r="FT171" s="22">
        <f t="shared" si="184"/>
        <v>0.50233898478852312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117.54638373164624</v>
      </c>
      <c r="GF171" s="59">
        <f t="shared" si="158"/>
        <v>133.0740262536583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0.1438551758371637</v>
      </c>
      <c r="GM171" s="21">
        <f>EXP(-LN(2)/25)*GM170+(1-EXP(-LN(2)/25))/(LN(2)/25)*Calculateur!GH171*Calculateur!GJ171*VLOOKUP('Données projet'!$B$17,Paramètres!$A$1:$I$89,3,0)*0.475*44/12</f>
        <v>0.18863012842584703</v>
      </c>
      <c r="GN171" s="21">
        <f>EXP(-LN(2)/2)*GN170+(1-EXP(-LN(2)/2))/(LN(2)/2)*GH171*GK171*VLOOKUP('Données projet'!$B$17,Paramètres!$A$1:$I$89,3,0)*0.475*44/12</f>
        <v>6.8533818802112002E-21</v>
      </c>
      <c r="GO171" s="21">
        <f t="shared" si="187"/>
        <v>0.33248530426301071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2.8421709430404007E-14</v>
      </c>
      <c r="GV171" s="17">
        <f>GU171*VLOOKUP('Données projet'!$B$18,Paramètres!$A$1:$I$89,3,0)*VLOOKUP('Données projet'!$B$18,Paramètres!$A$1:$I$89,5,0)</f>
        <v>1.3567387213697657E-14</v>
      </c>
      <c r="GW171" s="13">
        <f t="shared" si="188"/>
        <v>2.5717320947985821E-13</v>
      </c>
      <c r="GX171" s="20">
        <f t="shared" si="189"/>
        <v>4.7153987257460977E-13</v>
      </c>
      <c r="GY171" s="59">
        <f t="shared" si="137"/>
        <v>293.33333333333377</v>
      </c>
      <c r="GZ171" s="59">
        <f ca="1">AVERAGE(OFFSET($GY$3,0,0,'Données projet'!$E$18+1,1))-AVERAGE(OFFSET($H$3,0,0,'Données projet'!$E$18+1,1))</f>
        <v>43.147469606759159</v>
      </c>
      <c r="HA171" s="59">
        <f t="shared" si="160"/>
        <v>147.46995307968473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2.3449422510483284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9.3373432025759028E-22</v>
      </c>
      <c r="HJ171" s="22">
        <f t="shared" si="190"/>
        <v>2.3449422510483284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2.8421709430404007E-14</v>
      </c>
      <c r="O172" s="13">
        <f>N172*VLOOKUP('Données projet'!$B$9,Paramètres!$A$1:$I$89,3,0)*VLOOKUP('Données projet'!$B$9,Paramètres!$A$1:$I$89,5,0)</f>
        <v>2.5715962692629544E-14</v>
      </c>
      <c r="P172" s="13">
        <f t="shared" si="141"/>
        <v>4.5248818890525812E-13</v>
      </c>
      <c r="Q172" s="20">
        <f t="shared" si="162"/>
        <v>8.3287223069965432E-13</v>
      </c>
      <c r="R172" s="59">
        <f t="shared" si="109"/>
        <v>293.33333333333417</v>
      </c>
      <c r="S172" s="59">
        <f ca="1">AVERAGE(OFFSET($R$3,0,0,'Données projet'!$E$9+1,1))-AVERAGE(OFFSET($H$3,0,0,'Données projet'!$E$9+1,1))</f>
        <v>138.8931001150624</v>
      </c>
      <c r="T172" s="59">
        <f t="shared" si="142"/>
        <v>48.964659354096625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-7.4487616075202836E-14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191.94797389630673</v>
      </c>
      <c r="AO172" s="59">
        <f t="shared" si="144"/>
        <v>273.52540822767878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0.2977778516384485</v>
      </c>
      <c r="AW172" s="21">
        <f>EXP(-LN(2)/2)*AW171+(1-EXP(-LN(2)/2))/(LN(2)/2)*AQ172*AT172*VLOOKUP('Données projet'!$B$10,Paramètres!$A$1:$I$89,3,0)*0.475*44/12</f>
        <v>2.7794612204389968E-20</v>
      </c>
      <c r="AX172" s="21">
        <f t="shared" si="166"/>
        <v>0.46191268372141481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3.5470293369144201E-14</v>
      </c>
      <c r="BF172" s="13">
        <f t="shared" si="167"/>
        <v>6.0119115841663204E-13</v>
      </c>
      <c r="BG172" s="20">
        <f t="shared" si="168"/>
        <v>1.1088520285268936E-12</v>
      </c>
      <c r="BH172" s="59">
        <f t="shared" si="116"/>
        <v>293.33333333333445</v>
      </c>
      <c r="BI172" s="59">
        <f ca="1">AVERAGE(OFFSET($BH$3,0,0,'Données projet'!$E$11+1,1))-AVERAGE(OFFSET($H$3,0,0,'Données projet'!$E$11+1,1))</f>
        <v>162.91481796710048</v>
      </c>
      <c r="BJ172" s="59">
        <f t="shared" si="146"/>
        <v>182.56192390367823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0.17730994613613765</v>
      </c>
      <c r="BQ172" s="21">
        <f>EXP(-LN(2)/25)*BQ171+(1-EXP(-LN(2)/25))/(LN(2)/25)*Calculateur!BL172*Calculateur!BN172*VLOOKUP('Données projet'!$B$11,Paramètres!$A$1:$I$89,3,0)*0.475*44/12</f>
        <v>0.32385956043365566</v>
      </c>
      <c r="BR172" s="21">
        <f>EXP(-LN(2)/2)*BR171+(1-EXP(-LN(2)/2))/(LN(2)/2)*BL172*BO172*VLOOKUP('Données projet'!$B$11,Paramètres!$A$1:$I$89,3,0)*0.475*44/12</f>
        <v>2.1525661196225259E-20</v>
      </c>
      <c r="BS172" s="22">
        <f t="shared" si="169"/>
        <v>0.50116950656979331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-5.3205440053716299E-14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123.60520571614535</v>
      </c>
      <c r="CE172" s="59">
        <f t="shared" si="148"/>
        <v>119.00926870519527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5.5290623828612606E-2</v>
      </c>
      <c r="CL172" s="21">
        <f>EXP(-LN(2)/25)*CL171+(1-EXP(-LN(2)/25))/(LN(2)/25)*Calculateur!CG172*Calculateur!CI172*VLOOKUP('Données projet'!$B$12,Paramètres!$A$1:$I$89,3,0)*0.475*44/12</f>
        <v>0.10125266952629881</v>
      </c>
      <c r="CM172" s="21">
        <f>EXP(-LN(2)/2)*CM171+(1-EXP(-LN(2)/2))/(LN(2)/2)*CG172*CJ172*VLOOKUP('Données projet'!$B$12,Paramètres!$A$1:$I$89,3,0)*0.475*44/12</f>
        <v>7.3235250370976132E-21</v>
      </c>
      <c r="CN172" s="22">
        <f t="shared" si="172"/>
        <v>0.15654329335491141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2.9706370696658272E-14</v>
      </c>
      <c r="CV172" s="13">
        <f t="shared" si="173"/>
        <v>5.1399863782592153E-13</v>
      </c>
      <c r="CW172" s="20">
        <f t="shared" si="174"/>
        <v>9.4695288984349312E-13</v>
      </c>
      <c r="CX172" s="59">
        <f t="shared" si="122"/>
        <v>293.33333333333428</v>
      </c>
      <c r="CY172" s="59">
        <f ca="1">AVERAGE(OFFSET($CX$3,0,0,'Données projet'!$E$13+1,1))-AVERAGE(OFFSET($H$3,0,0,'Données projet'!$E$13+1,1))</f>
        <v>177.94336949486529</v>
      </c>
      <c r="CZ172" s="59">
        <f t="shared" si="150"/>
        <v>65.559373432574603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3.3992364478763198E-14</v>
      </c>
      <c r="DQ172" s="13">
        <f t="shared" si="176"/>
        <v>5.790027782444094E-13</v>
      </c>
      <c r="DR172" s="20">
        <f t="shared" si="177"/>
        <v>1.0676332069095257E-12</v>
      </c>
      <c r="DS172" s="59">
        <f t="shared" si="125"/>
        <v>293.33333333333439</v>
      </c>
      <c r="DT172" s="59">
        <f ca="1">AVERAGE(OFFSET($DS$3,0,0,'Données projet'!$E$14+1,1))-AVERAGE(OFFSET($H$3,0,0,'Données projet'!$E$14+1,1))</f>
        <v>165.39579887388538</v>
      </c>
      <c r="DU172" s="59">
        <f t="shared" si="152"/>
        <v>155.89639262545802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0.15450971136035771</v>
      </c>
      <c r="EC172" s="21">
        <f>EXP(-LN(2)/2)*EC171+(1-EXP(-LN(2)/2))/(LN(2)/2)*DW172*DZ172*VLOOKUP('Données projet'!$B$14,Paramètres!$A$1:$I$89,3,0)*0.475*44/12</f>
        <v>1.6626693294049574E-20</v>
      </c>
      <c r="ED172" s="22">
        <f t="shared" si="178"/>
        <v>0.15450971136035771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-1.1368683772161603E-12</v>
      </c>
      <c r="EK172" s="17">
        <f>EJ172*VLOOKUP('Données projet'!$B$15,Paramètres!$A$1:$I$89,3,0)*VLOOKUP('Données projet'!$B$15,Paramètres!$A$1:$I$89,5,0)</f>
        <v>-5.4683368944097316E-13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252.30925789500111</v>
      </c>
      <c r="EP172" s="59">
        <f t="shared" si="154"/>
        <v>213.96033794804805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0.29531868632867903</v>
      </c>
      <c r="EW172" s="21">
        <f>EXP(-LN(2)/25)*EW171+(1-EXP(-LN(2)/25))/(LN(2)/25)*Calculateur!ER172*Calculateur!ET172*VLOOKUP('Données projet'!$B$15,Paramètres!$A$1:$I$89,3,0)*0.475*44/12</f>
        <v>0.1956139915900523</v>
      </c>
      <c r="EX172" s="21">
        <f>EXP(-LN(2)/2)*EX171+(1-EXP(-LN(2)/2))/(LN(2)/2)*ER172*EU172*VLOOKUP('Données projet'!$B$15,Paramètres!$A$1:$I$89,3,0)*0.475*44/12</f>
        <v>1.7222644761004912E-20</v>
      </c>
      <c r="EY172" s="22">
        <f t="shared" si="181"/>
        <v>0.4909326779187313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-1.1368683772161603E-12</v>
      </c>
      <c r="FF172" s="17">
        <f>FE172*VLOOKUP('Données projet'!$B$16,Paramètres!$A$1:$I$89,3,0)*VLOOKUP('Données projet'!$B$16,Paramètres!$A$1:$I$89,5,0)</f>
        <v>-5.4683368944097316E-13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252.30925789500111</v>
      </c>
      <c r="FK172" s="59">
        <f t="shared" si="156"/>
        <v>213.96033794804805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0.29531868632867903</v>
      </c>
      <c r="FR172" s="21">
        <f>EXP(-LN(2)/25)*FR171+(1-EXP(-LN(2)/25))/(LN(2)/25)*Calculateur!FM172*Calculateur!FO172*VLOOKUP('Données projet'!$B$16,Paramètres!$A$1:$I$89,3,0)*0.475*44/12</f>
        <v>0.1956139915900523</v>
      </c>
      <c r="FS172" s="21">
        <f>EXP(-LN(2)/2)*FS171+(1-EXP(-LN(2)/2))/(LN(2)/2)*FM172*FP172*VLOOKUP('Données projet'!$B$16,Paramètres!$A$1:$I$89,3,0)*0.475*44/12</f>
        <v>1.7222644761004912E-20</v>
      </c>
      <c r="FT172" s="22">
        <f t="shared" si="184"/>
        <v>0.4909326779187313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117.54638373164624</v>
      </c>
      <c r="GF172" s="59">
        <f t="shared" si="158"/>
        <v>133.0740262536583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0.14103426358199028</v>
      </c>
      <c r="GM172" s="21">
        <f>EXP(-LN(2)/25)*GM171+(1-EXP(-LN(2)/25))/(LN(2)/25)*Calculateur!GH172*Calculateur!GJ172*VLOOKUP('Données projet'!$B$17,Paramètres!$A$1:$I$89,3,0)*0.475*44/12</f>
        <v>0.18347202764441492</v>
      </c>
      <c r="GN172" s="21">
        <f>EXP(-LN(2)/2)*GN171+(1-EXP(-LN(2)/2))/(LN(2)/2)*GH172*GK172*VLOOKUP('Données projet'!$B$17,Paramètres!$A$1:$I$89,3,0)*0.475*44/12</f>
        <v>4.8460728015583508E-21</v>
      </c>
      <c r="GO172" s="21">
        <f t="shared" si="187"/>
        <v>0.32450629122640517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2.8421709430404007E-14</v>
      </c>
      <c r="GV172" s="17">
        <f>GU172*VLOOKUP('Données projet'!$B$18,Paramètres!$A$1:$I$89,3,0)*VLOOKUP('Données projet'!$B$18,Paramètres!$A$1:$I$89,5,0)</f>
        <v>1.3567387213697657E-14</v>
      </c>
      <c r="GW172" s="13">
        <f t="shared" si="188"/>
        <v>2.5717320947985821E-13</v>
      </c>
      <c r="GX172" s="20">
        <f t="shared" si="189"/>
        <v>4.7153987257460977E-13</v>
      </c>
      <c r="GY172" s="59">
        <f t="shared" si="137"/>
        <v>293.33333333333377</v>
      </c>
      <c r="GZ172" s="59">
        <f ca="1">AVERAGE(OFFSET($GY$3,0,0,'Données projet'!$E$18+1,1))-AVERAGE(OFFSET($H$3,0,0,'Données projet'!$E$18+1,1))</f>
        <v>43.147469606759159</v>
      </c>
      <c r="HA172" s="59">
        <f t="shared" si="160"/>
        <v>147.46995307968473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2.2989593637788159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6.602498696807536E-22</v>
      </c>
      <c r="HJ172" s="22">
        <f t="shared" si="190"/>
        <v>2.2989593637788159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2.8421709430404007E-14</v>
      </c>
      <c r="O173" s="13">
        <f>N173*VLOOKUP('Données projet'!$B$9,Paramètres!$A$1:$I$89,3,0)*VLOOKUP('Données projet'!$B$9,Paramètres!$A$1:$I$89,5,0)</f>
        <v>2.5715962692629544E-14</v>
      </c>
      <c r="P173" s="13">
        <f t="shared" si="141"/>
        <v>4.5248818890525812E-13</v>
      </c>
      <c r="Q173" s="20">
        <f t="shared" si="162"/>
        <v>8.3287223069965432E-13</v>
      </c>
      <c r="R173" s="59">
        <f t="shared" si="109"/>
        <v>293.33333333333417</v>
      </c>
      <c r="S173" s="59">
        <f ca="1">AVERAGE(OFFSET($R$3,0,0,'Données projet'!$E$9+1,1))-AVERAGE(OFFSET($H$3,0,0,'Données projet'!$E$9+1,1))</f>
        <v>138.8931001150624</v>
      </c>
      <c r="T173" s="59">
        <f t="shared" si="142"/>
        <v>48.964659354096625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-7.4487616075202836E-14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191.94797389630673</v>
      </c>
      <c r="AO173" s="59">
        <f t="shared" si="144"/>
        <v>273.52540822767878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0.2896351006259385</v>
      </c>
      <c r="AW173" s="21">
        <f>EXP(-LN(2)/2)*AW172+(1-EXP(-LN(2)/2))/(LN(2)/2)*AQ173*AT173*VLOOKUP('Données projet'!$B$10,Paramètres!$A$1:$I$89,3,0)*0.475*44/12</f>
        <v>1.9653758770174521E-20</v>
      </c>
      <c r="AX173" s="21">
        <f t="shared" si="166"/>
        <v>0.45055134876412017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3.5470293369144201E-14</v>
      </c>
      <c r="BF173" s="13">
        <f t="shared" si="167"/>
        <v>6.0119115841663204E-13</v>
      </c>
      <c r="BG173" s="20">
        <f t="shared" si="168"/>
        <v>1.1088520285268936E-12</v>
      </c>
      <c r="BH173" s="59">
        <f t="shared" si="116"/>
        <v>293.33333333333445</v>
      </c>
      <c r="BI173" s="59">
        <f ca="1">AVERAGE(OFFSET($BH$3,0,0,'Données projet'!$E$11+1,1))-AVERAGE(OFFSET($H$3,0,0,'Données projet'!$E$11+1,1))</f>
        <v>162.91481796710048</v>
      </c>
      <c r="BJ173" s="59">
        <f t="shared" si="146"/>
        <v>182.56192390367823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0.17383300624079637</v>
      </c>
      <c r="BQ173" s="21">
        <f>EXP(-LN(2)/25)*BQ172+(1-EXP(-LN(2)/25))/(LN(2)/25)*Calculateur!BL173*Calculateur!BN173*VLOOKUP('Données projet'!$B$11,Paramètres!$A$1:$I$89,3,0)*0.475*44/12</f>
        <v>0.31500360372256325</v>
      </c>
      <c r="BR173" s="21">
        <f>EXP(-LN(2)/2)*BR172+(1-EXP(-LN(2)/2))/(LN(2)/2)*BL173*BO173*VLOOKUP('Données projet'!$B$11,Paramètres!$A$1:$I$89,3,0)*0.475*44/12</f>
        <v>1.5220941001375011E-20</v>
      </c>
      <c r="BS173" s="22">
        <f t="shared" si="169"/>
        <v>0.48883660996335965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-5.3205440053716299E-14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123.60520571614535</v>
      </c>
      <c r="CE173" s="59">
        <f t="shared" si="148"/>
        <v>119.00926870519527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5.4206408419284084E-2</v>
      </c>
      <c r="CL173" s="21">
        <f>EXP(-LN(2)/25)*CL172+(1-EXP(-LN(2)/25))/(LN(2)/25)*Calculateur!CG173*Calculateur!CI173*VLOOKUP('Données projet'!$B$12,Paramètres!$A$1:$I$89,3,0)*0.475*44/12</f>
        <v>9.8483909953455698E-2</v>
      </c>
      <c r="CM173" s="21">
        <f>EXP(-LN(2)/2)*CM172+(1-EXP(-LN(2)/2))/(LN(2)/2)*CG173*CJ173*VLOOKUP('Données projet'!$B$12,Paramètres!$A$1:$I$89,3,0)*0.475*44/12</f>
        <v>5.1785142159211844E-21</v>
      </c>
      <c r="CN173" s="22">
        <f t="shared" si="172"/>
        <v>0.15269031837273978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2.9706370696658272E-14</v>
      </c>
      <c r="CV173" s="13">
        <f t="shared" si="173"/>
        <v>5.1399863782592153E-13</v>
      </c>
      <c r="CW173" s="20">
        <f t="shared" si="174"/>
        <v>9.4695288984349312E-13</v>
      </c>
      <c r="CX173" s="59">
        <f t="shared" si="122"/>
        <v>293.33333333333428</v>
      </c>
      <c r="CY173" s="59">
        <f ca="1">AVERAGE(OFFSET($CX$3,0,0,'Données projet'!$E$13+1,1))-AVERAGE(OFFSET($H$3,0,0,'Données projet'!$E$13+1,1))</f>
        <v>177.94336949486529</v>
      </c>
      <c r="CZ173" s="59">
        <f t="shared" si="150"/>
        <v>65.559373432574603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3.3992364478763198E-14</v>
      </c>
      <c r="DQ173" s="13">
        <f t="shared" si="176"/>
        <v>5.790027782444094E-13</v>
      </c>
      <c r="DR173" s="20">
        <f t="shared" si="177"/>
        <v>1.0676332069095257E-12</v>
      </c>
      <c r="DS173" s="59">
        <f t="shared" si="125"/>
        <v>293.33333333333439</v>
      </c>
      <c r="DT173" s="59">
        <f ca="1">AVERAGE(OFFSET($DS$3,0,0,'Données projet'!$E$14+1,1))-AVERAGE(OFFSET($H$3,0,0,'Données projet'!$E$14+1,1))</f>
        <v>165.39579887388538</v>
      </c>
      <c r="DU173" s="59">
        <f t="shared" si="152"/>
        <v>155.89639262545802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0.15028463517789614</v>
      </c>
      <c r="EC173" s="21">
        <f>EXP(-LN(2)/2)*EC172+(1-EXP(-LN(2)/2))/(LN(2)/2)*DW173*DZ173*VLOOKUP('Données projet'!$B$14,Paramètres!$A$1:$I$89,3,0)*0.475*44/12</f>
        <v>1.1756847576931349E-20</v>
      </c>
      <c r="ED173" s="22">
        <f t="shared" si="178"/>
        <v>0.15028463517789614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-1.1368683772161603E-12</v>
      </c>
      <c r="EK173" s="17">
        <f>EJ173*VLOOKUP('Données projet'!$B$15,Paramètres!$A$1:$I$89,3,0)*VLOOKUP('Données projet'!$B$15,Paramètres!$A$1:$I$89,5,0)</f>
        <v>-5.4683368944097316E-13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252.30925789500111</v>
      </c>
      <c r="EP173" s="59">
        <f t="shared" si="154"/>
        <v>213.96033794804805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0.28952766701638627</v>
      </c>
      <c r="EW173" s="21">
        <f>EXP(-LN(2)/25)*EW172+(1-EXP(-LN(2)/25))/(LN(2)/25)*Calculateur!ER173*Calculateur!ET173*VLOOKUP('Données projet'!$B$15,Paramètres!$A$1:$I$89,3,0)*0.475*44/12</f>
        <v>0.19026491670312959</v>
      </c>
      <c r="EX173" s="21">
        <f>EXP(-LN(2)/2)*EX172+(1-EXP(-LN(2)/2))/(LN(2)/2)*ER173*EU173*VLOOKUP('Données projet'!$B$15,Paramètres!$A$1:$I$89,3,0)*0.475*44/12</f>
        <v>1.2178248900473539E-20</v>
      </c>
      <c r="EY173" s="22">
        <f t="shared" si="181"/>
        <v>0.47979258371951583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-1.1368683772161603E-12</v>
      </c>
      <c r="FF173" s="17">
        <f>FE173*VLOOKUP('Données projet'!$B$16,Paramètres!$A$1:$I$89,3,0)*VLOOKUP('Données projet'!$B$16,Paramètres!$A$1:$I$89,5,0)</f>
        <v>-5.4683368944097316E-13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252.30925789500111</v>
      </c>
      <c r="FK173" s="59">
        <f t="shared" si="156"/>
        <v>213.96033794804805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0.28952766701638627</v>
      </c>
      <c r="FR173" s="21">
        <f>EXP(-LN(2)/25)*FR172+(1-EXP(-LN(2)/25))/(LN(2)/25)*Calculateur!FM173*Calculateur!FO173*VLOOKUP('Données projet'!$B$16,Paramètres!$A$1:$I$89,3,0)*0.475*44/12</f>
        <v>0.19026491670312959</v>
      </c>
      <c r="FS173" s="21">
        <f>EXP(-LN(2)/2)*FS172+(1-EXP(-LN(2)/2))/(LN(2)/2)*FM173*FP173*VLOOKUP('Données projet'!$B$16,Paramètres!$A$1:$I$89,3,0)*0.475*44/12</f>
        <v>1.2178248900473539E-20</v>
      </c>
      <c r="FT173" s="22">
        <f t="shared" si="184"/>
        <v>0.47979258371951583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117.54638373164624</v>
      </c>
      <c r="GF173" s="59">
        <f t="shared" si="158"/>
        <v>133.0740262536583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0.13826866769555424</v>
      </c>
      <c r="GM173" s="21">
        <f>EXP(-LN(2)/25)*GM172+(1-EXP(-LN(2)/25))/(LN(2)/25)*Calculateur!GH173*Calculateur!GJ173*VLOOKUP('Données projet'!$B$17,Paramètres!$A$1:$I$89,3,0)*0.475*44/12</f>
        <v>0.1784549754001038</v>
      </c>
      <c r="GN173" s="21">
        <f>EXP(-LN(2)/2)*GN172+(1-EXP(-LN(2)/2))/(LN(2)/2)*GH173*GK173*VLOOKUP('Données projet'!$B$17,Paramètres!$A$1:$I$89,3,0)*0.475*44/12</f>
        <v>3.4266909401056001E-21</v>
      </c>
      <c r="GO173" s="21">
        <f t="shared" si="187"/>
        <v>0.31672364309565804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2.8421709430404007E-14</v>
      </c>
      <c r="GV173" s="17">
        <f>GU173*VLOOKUP('Données projet'!$B$18,Paramètres!$A$1:$I$89,3,0)*VLOOKUP('Données projet'!$B$18,Paramètres!$A$1:$I$89,5,0)</f>
        <v>1.3567387213697657E-14</v>
      </c>
      <c r="GW173" s="13">
        <f t="shared" si="188"/>
        <v>2.5717320947985821E-13</v>
      </c>
      <c r="GX173" s="20">
        <f t="shared" si="189"/>
        <v>4.7153987257460977E-13</v>
      </c>
      <c r="GY173" s="59">
        <f t="shared" si="137"/>
        <v>293.33333333333377</v>
      </c>
      <c r="GZ173" s="59">
        <f ca="1">AVERAGE(OFFSET($GY$3,0,0,'Données projet'!$E$18+1,1))-AVERAGE(OFFSET($H$3,0,0,'Données projet'!$E$18+1,1))</f>
        <v>43.147469606759159</v>
      </c>
      <c r="HA173" s="59">
        <f t="shared" si="160"/>
        <v>147.46995307968473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2.2538781728818669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4.6686716012879514E-22</v>
      </c>
      <c r="HJ173" s="22">
        <f t="shared" si="190"/>
        <v>2.2538781728818669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2.8421709430404007E-14</v>
      </c>
      <c r="O174" s="13">
        <f>N174*VLOOKUP('Données projet'!$B$9,Paramètres!$A$1:$I$89,3,0)*VLOOKUP('Données projet'!$B$9,Paramètres!$A$1:$I$89,5,0)</f>
        <v>2.5715962692629544E-14</v>
      </c>
      <c r="P174" s="13">
        <f t="shared" si="141"/>
        <v>4.5248818890525812E-13</v>
      </c>
      <c r="Q174" s="20">
        <f t="shared" si="162"/>
        <v>8.3287223069965432E-13</v>
      </c>
      <c r="R174" s="59">
        <f t="shared" si="109"/>
        <v>293.33333333333417</v>
      </c>
      <c r="S174" s="59">
        <f ca="1">AVERAGE(OFFSET($R$3,0,0,'Données projet'!$E$9+1,1))-AVERAGE(OFFSET($H$3,0,0,'Données projet'!$E$9+1,1))</f>
        <v>138.8931001150624</v>
      </c>
      <c r="T174" s="59">
        <f t="shared" si="142"/>
        <v>48.964659354096625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-7.4487616075202836E-14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191.94797389630673</v>
      </c>
      <c r="AO174" s="59">
        <f t="shared" si="144"/>
        <v>273.52540822767878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0.28171501356807427</v>
      </c>
      <c r="AW174" s="21">
        <f>EXP(-LN(2)/2)*AW173+(1-EXP(-LN(2)/2))/(LN(2)/2)*AQ174*AT174*VLOOKUP('Données projet'!$B$10,Paramètres!$A$1:$I$89,3,0)*0.475*44/12</f>
        <v>1.3897306102194984E-20</v>
      </c>
      <c r="AX174" s="21">
        <f t="shared" si="166"/>
        <v>0.43947579222948613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3.5470293369144201E-14</v>
      </c>
      <c r="BF174" s="13">
        <f t="shared" si="167"/>
        <v>6.0119115841663204E-13</v>
      </c>
      <c r="BG174" s="20">
        <f t="shared" si="168"/>
        <v>1.1088520285268936E-12</v>
      </c>
      <c r="BH174" s="59">
        <f t="shared" si="116"/>
        <v>293.33333333333445</v>
      </c>
      <c r="BI174" s="59">
        <f ca="1">AVERAGE(OFFSET($BH$3,0,0,'Données projet'!$E$11+1,1))-AVERAGE(OFFSET($H$3,0,0,'Données projet'!$E$11+1,1))</f>
        <v>162.91481796710048</v>
      </c>
      <c r="BJ174" s="59">
        <f t="shared" si="146"/>
        <v>182.56192390367823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0.17042424701607881</v>
      </c>
      <c r="BQ174" s="21">
        <f>EXP(-LN(2)/25)*BQ173+(1-EXP(-LN(2)/25))/(LN(2)/25)*Calculateur!BL174*Calculateur!BN174*VLOOKUP('Données projet'!$B$11,Paramètres!$A$1:$I$89,3,0)*0.475*44/12</f>
        <v>0.30638981361345019</v>
      </c>
      <c r="BR174" s="21">
        <f>EXP(-LN(2)/2)*BR173+(1-EXP(-LN(2)/2))/(LN(2)/2)*BL174*BO174*VLOOKUP('Données projet'!$B$11,Paramètres!$A$1:$I$89,3,0)*0.475*44/12</f>
        <v>1.076283059811263E-20</v>
      </c>
      <c r="BS174" s="22">
        <f t="shared" si="169"/>
        <v>0.47681406062952902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-5.3205440053716299E-14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123.60520571614535</v>
      </c>
      <c r="CE174" s="59">
        <f t="shared" si="148"/>
        <v>119.00926870519527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5.3143453812826397E-2</v>
      </c>
      <c r="CL174" s="21">
        <f>EXP(-LN(2)/25)*CL173+(1-EXP(-LN(2)/25))/(LN(2)/25)*Calculateur!CG174*Calculateur!CI174*VLOOKUP('Données projet'!$B$12,Paramètres!$A$1:$I$89,3,0)*0.475*44/12</f>
        <v>9.5790862256734721E-2</v>
      </c>
      <c r="CM174" s="21">
        <f>EXP(-LN(2)/2)*CM173+(1-EXP(-LN(2)/2))/(LN(2)/2)*CG174*CJ174*VLOOKUP('Données projet'!$B$12,Paramètres!$A$1:$I$89,3,0)*0.475*44/12</f>
        <v>3.6617625185488066E-21</v>
      </c>
      <c r="CN174" s="22">
        <f t="shared" si="172"/>
        <v>0.14893431606956112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2.9706370696658272E-14</v>
      </c>
      <c r="CV174" s="13">
        <f t="shared" si="173"/>
        <v>5.1399863782592153E-13</v>
      </c>
      <c r="CW174" s="20">
        <f t="shared" si="174"/>
        <v>9.4695288984349312E-13</v>
      </c>
      <c r="CX174" s="59">
        <f t="shared" si="122"/>
        <v>293.33333333333428</v>
      </c>
      <c r="CY174" s="59">
        <f ca="1">AVERAGE(OFFSET($CX$3,0,0,'Données projet'!$E$13+1,1))-AVERAGE(OFFSET($H$3,0,0,'Données projet'!$E$13+1,1))</f>
        <v>177.94336949486529</v>
      </c>
      <c r="CZ174" s="59">
        <f t="shared" si="150"/>
        <v>65.559373432574603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3.3992364478763198E-14</v>
      </c>
      <c r="DQ174" s="13">
        <f t="shared" si="176"/>
        <v>5.790027782444094E-13</v>
      </c>
      <c r="DR174" s="20">
        <f t="shared" si="177"/>
        <v>1.0676332069095257E-12</v>
      </c>
      <c r="DS174" s="59">
        <f t="shared" si="125"/>
        <v>293.33333333333439</v>
      </c>
      <c r="DT174" s="59">
        <f ca="1">AVERAGE(OFFSET($DS$3,0,0,'Données projet'!$E$14+1,1))-AVERAGE(OFFSET($H$3,0,0,'Données projet'!$E$14+1,1))</f>
        <v>165.39579887388538</v>
      </c>
      <c r="DU174" s="59">
        <f t="shared" si="152"/>
        <v>155.89639262545802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0.14617509392583108</v>
      </c>
      <c r="EC174" s="21">
        <f>EXP(-LN(2)/2)*EC173+(1-EXP(-LN(2)/2))/(LN(2)/2)*DW174*DZ174*VLOOKUP('Données projet'!$B$14,Paramètres!$A$1:$I$89,3,0)*0.475*44/12</f>
        <v>8.3133466470247869E-21</v>
      </c>
      <c r="ED174" s="22">
        <f t="shared" si="178"/>
        <v>0.14617509392583108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-1.1368683772161603E-12</v>
      </c>
      <c r="EK174" s="17">
        <f>EJ174*VLOOKUP('Données projet'!$B$15,Paramètres!$A$1:$I$89,3,0)*VLOOKUP('Données projet'!$B$15,Paramètres!$A$1:$I$89,5,0)</f>
        <v>-5.4683368944097316E-13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252.30925789500111</v>
      </c>
      <c r="EP174" s="59">
        <f t="shared" si="154"/>
        <v>213.96033794804805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0.28385020606063455</v>
      </c>
      <c r="EW174" s="21">
        <f>EXP(-LN(2)/25)*EW173+(1-EXP(-LN(2)/25))/(LN(2)/25)*Calculateur!ER174*Calculateur!ET174*VLOOKUP('Données projet'!$B$15,Paramètres!$A$1:$I$89,3,0)*0.475*44/12</f>
        <v>0.1850621125502854</v>
      </c>
      <c r="EX174" s="21">
        <f>EXP(-LN(2)/2)*EX173+(1-EXP(-LN(2)/2))/(LN(2)/2)*ER174*EU174*VLOOKUP('Données projet'!$B$15,Paramètres!$A$1:$I$89,3,0)*0.475*44/12</f>
        <v>8.6113223805024558E-21</v>
      </c>
      <c r="EY174" s="22">
        <f t="shared" si="181"/>
        <v>0.46891231861091998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-1.1368683772161603E-12</v>
      </c>
      <c r="FF174" s="17">
        <f>FE174*VLOOKUP('Données projet'!$B$16,Paramètres!$A$1:$I$89,3,0)*VLOOKUP('Données projet'!$B$16,Paramètres!$A$1:$I$89,5,0)</f>
        <v>-5.4683368944097316E-13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252.30925789500111</v>
      </c>
      <c r="FK174" s="59">
        <f t="shared" si="156"/>
        <v>213.96033794804805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0.28385020606063455</v>
      </c>
      <c r="FR174" s="21">
        <f>EXP(-LN(2)/25)*FR173+(1-EXP(-LN(2)/25))/(LN(2)/25)*Calculateur!FM174*Calculateur!FO174*VLOOKUP('Données projet'!$B$16,Paramètres!$A$1:$I$89,3,0)*0.475*44/12</f>
        <v>0.1850621125502854</v>
      </c>
      <c r="FS174" s="21">
        <f>EXP(-LN(2)/2)*FS173+(1-EXP(-LN(2)/2))/(LN(2)/2)*FM174*FP174*VLOOKUP('Données projet'!$B$16,Paramètres!$A$1:$I$89,3,0)*0.475*44/12</f>
        <v>8.6113223805024558E-21</v>
      </c>
      <c r="FT174" s="22">
        <f t="shared" si="184"/>
        <v>0.46891231861091998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117.54638373164624</v>
      </c>
      <c r="GF174" s="59">
        <f t="shared" si="158"/>
        <v>133.0740262536583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0.13555730345760428</v>
      </c>
      <c r="GM174" s="21">
        <f>EXP(-LN(2)/25)*GM173+(1-EXP(-LN(2)/25))/(LN(2)/25)*Calculateur!GH174*Calculateur!GJ174*VLOOKUP('Données projet'!$B$17,Paramètres!$A$1:$I$89,3,0)*0.475*44/12</f>
        <v>0.17357511471324866</v>
      </c>
      <c r="GN174" s="21">
        <f>EXP(-LN(2)/2)*GN173+(1-EXP(-LN(2)/2))/(LN(2)/2)*GH174*GK174*VLOOKUP('Données projet'!$B$17,Paramètres!$A$1:$I$89,3,0)*0.475*44/12</f>
        <v>2.4230364007791754E-21</v>
      </c>
      <c r="GO174" s="21">
        <f t="shared" si="187"/>
        <v>0.30913241817085291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2.8421709430404007E-14</v>
      </c>
      <c r="GV174" s="17">
        <f>GU174*VLOOKUP('Données projet'!$B$18,Paramètres!$A$1:$I$89,3,0)*VLOOKUP('Données projet'!$B$18,Paramètres!$A$1:$I$89,5,0)</f>
        <v>1.3567387213697657E-14</v>
      </c>
      <c r="GW174" s="13">
        <f t="shared" si="188"/>
        <v>2.5717320947985821E-13</v>
      </c>
      <c r="GX174" s="20">
        <f t="shared" si="189"/>
        <v>4.7153987257460977E-13</v>
      </c>
      <c r="GY174" s="59">
        <f t="shared" si="137"/>
        <v>293.33333333333377</v>
      </c>
      <c r="GZ174" s="59">
        <f ca="1">AVERAGE(OFFSET($GY$3,0,0,'Données projet'!$E$18+1,1))-AVERAGE(OFFSET($H$3,0,0,'Données projet'!$E$18+1,1))</f>
        <v>43.147469606759159</v>
      </c>
      <c r="HA174" s="59">
        <f t="shared" si="160"/>
        <v>147.46995307968473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2.2096809966415956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3.301249348403768E-22</v>
      </c>
      <c r="HJ174" s="22">
        <f t="shared" si="190"/>
        <v>2.2096809966415956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2.8421709430404007E-14</v>
      </c>
      <c r="O175" s="13">
        <f>N175*VLOOKUP('Données projet'!$B$9,Paramètres!$A$1:$I$89,3,0)*VLOOKUP('Données projet'!$B$9,Paramètres!$A$1:$I$89,5,0)</f>
        <v>2.5715962692629544E-14</v>
      </c>
      <c r="P175" s="13">
        <f t="shared" si="141"/>
        <v>4.5248818890525812E-13</v>
      </c>
      <c r="Q175" s="20">
        <f t="shared" si="162"/>
        <v>8.3287223069965432E-13</v>
      </c>
      <c r="R175" s="59">
        <f t="shared" si="109"/>
        <v>293.33333333333417</v>
      </c>
      <c r="S175" s="59">
        <f ca="1">AVERAGE(OFFSET($R$3,0,0,'Données projet'!$E$9+1,1))-AVERAGE(OFFSET($H$3,0,0,'Données projet'!$E$9+1,1))</f>
        <v>138.8931001150624</v>
      </c>
      <c r="T175" s="59">
        <f t="shared" si="142"/>
        <v>48.964659354096625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-7.4487616075202836E-14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191.94797389630673</v>
      </c>
      <c r="AO175" s="59">
        <f t="shared" si="144"/>
        <v>273.52540822767878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0.27401150170730659</v>
      </c>
      <c r="AW175" s="21">
        <f>EXP(-LN(2)/2)*AW174+(1-EXP(-LN(2)/2))/(LN(2)/2)*AQ175*AT175*VLOOKUP('Données projet'!$B$10,Paramètres!$A$1:$I$89,3,0)*0.475*44/12</f>
        <v>9.8268793850872607E-21</v>
      </c>
      <c r="AX175" s="21">
        <f t="shared" si="166"/>
        <v>0.42867868772374174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3.5470293369144201E-14</v>
      </c>
      <c r="BF175" s="13">
        <f t="shared" si="167"/>
        <v>6.0119115841663204E-13</v>
      </c>
      <c r="BG175" s="20">
        <f t="shared" si="168"/>
        <v>1.1088520285268936E-12</v>
      </c>
      <c r="BH175" s="59">
        <f t="shared" si="116"/>
        <v>293.33333333333445</v>
      </c>
      <c r="BI175" s="59">
        <f ca="1">AVERAGE(OFFSET($BH$3,0,0,'Données projet'!$E$11+1,1))-AVERAGE(OFFSET($H$3,0,0,'Données projet'!$E$11+1,1))</f>
        <v>162.91481796710048</v>
      </c>
      <c r="BJ175" s="59">
        <f t="shared" si="146"/>
        <v>182.56192390367823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0.16708233148062013</v>
      </c>
      <c r="BQ175" s="21">
        <f>EXP(-LN(2)/25)*BQ174+(1-EXP(-LN(2)/25))/(LN(2)/25)*Calculateur!BL175*Calculateur!BN175*VLOOKUP('Données projet'!$B$11,Paramètres!$A$1:$I$89,3,0)*0.475*44/12</f>
        <v>0.29801156804785034</v>
      </c>
      <c r="BR175" s="21">
        <f>EXP(-LN(2)/2)*BR174+(1-EXP(-LN(2)/2))/(LN(2)/2)*BL175*BO175*VLOOKUP('Données projet'!$B$11,Paramètres!$A$1:$I$89,3,0)*0.475*44/12</f>
        <v>7.6104705006875054E-21</v>
      </c>
      <c r="BS175" s="22">
        <f t="shared" si="169"/>
        <v>0.46509389952847047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-5.3205440053716299E-14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123.60520571614535</v>
      </c>
      <c r="CE175" s="59">
        <f t="shared" si="148"/>
        <v>119.00926870519527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5.2101343097863052E-2</v>
      </c>
      <c r="CL175" s="21">
        <f>EXP(-LN(2)/25)*CL174+(1-EXP(-LN(2)/25))/(LN(2)/25)*Calculateur!CG175*Calculateur!CI175*VLOOKUP('Données projet'!$B$12,Paramètres!$A$1:$I$89,3,0)*0.475*44/12</f>
        <v>9.31714560909018E-2</v>
      </c>
      <c r="CM175" s="21">
        <f>EXP(-LN(2)/2)*CM174+(1-EXP(-LN(2)/2))/(LN(2)/2)*CG175*CJ175*VLOOKUP('Données projet'!$B$12,Paramètres!$A$1:$I$89,3,0)*0.475*44/12</f>
        <v>2.5892571079605922E-21</v>
      </c>
      <c r="CN175" s="22">
        <f t="shared" si="172"/>
        <v>0.14527279918876485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2.9706370696658272E-14</v>
      </c>
      <c r="CV175" s="13">
        <f t="shared" si="173"/>
        <v>5.1399863782592153E-13</v>
      </c>
      <c r="CW175" s="20">
        <f t="shared" si="174"/>
        <v>9.4695288984349312E-13</v>
      </c>
      <c r="CX175" s="59">
        <f t="shared" si="122"/>
        <v>293.33333333333428</v>
      </c>
      <c r="CY175" s="59">
        <f ca="1">AVERAGE(OFFSET($CX$3,0,0,'Données projet'!$E$13+1,1))-AVERAGE(OFFSET($H$3,0,0,'Données projet'!$E$13+1,1))</f>
        <v>177.94336949486529</v>
      </c>
      <c r="CZ175" s="59">
        <f t="shared" si="150"/>
        <v>65.559373432574603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3.3992364478763198E-14</v>
      </c>
      <c r="DQ175" s="13">
        <f t="shared" si="176"/>
        <v>5.790027782444094E-13</v>
      </c>
      <c r="DR175" s="20">
        <f t="shared" si="177"/>
        <v>1.0676332069095257E-12</v>
      </c>
      <c r="DS175" s="59">
        <f t="shared" si="125"/>
        <v>293.33333333333439</v>
      </c>
      <c r="DT175" s="59">
        <f ca="1">AVERAGE(OFFSET($DS$3,0,0,'Données projet'!$E$14+1,1))-AVERAGE(OFFSET($H$3,0,0,'Données projet'!$E$14+1,1))</f>
        <v>165.39579887388538</v>
      </c>
      <c r="DU175" s="59">
        <f t="shared" si="152"/>
        <v>155.89639262545802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0.14217792829541512</v>
      </c>
      <c r="EC175" s="21">
        <f>EXP(-LN(2)/2)*EC174+(1-EXP(-LN(2)/2))/(LN(2)/2)*DW175*DZ175*VLOOKUP('Données projet'!$B$14,Paramètres!$A$1:$I$89,3,0)*0.475*44/12</f>
        <v>5.8784237884656747E-21</v>
      </c>
      <c r="ED175" s="22">
        <f t="shared" si="178"/>
        <v>0.14217792829541512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-1.1368683772161603E-12</v>
      </c>
      <c r="EK175" s="17">
        <f>EJ175*VLOOKUP('Données projet'!$B$15,Paramètres!$A$1:$I$89,3,0)*VLOOKUP('Données projet'!$B$15,Paramètres!$A$1:$I$89,5,0)</f>
        <v>-5.4683368944097316E-13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252.30925789500111</v>
      </c>
      <c r="EP175" s="59">
        <f t="shared" si="154"/>
        <v>213.96033794804805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0.27828407665131588</v>
      </c>
      <c r="EW175" s="21">
        <f>EXP(-LN(2)/25)*EW174+(1-EXP(-LN(2)/25))/(LN(2)/25)*Calculateur!ER175*Calculateur!ET175*VLOOKUP('Données projet'!$B$15,Paramètres!$A$1:$I$89,3,0)*0.475*44/12</f>
        <v>0.18000157935060432</v>
      </c>
      <c r="EX175" s="21">
        <f>EXP(-LN(2)/2)*EX174+(1-EXP(-LN(2)/2))/(LN(2)/2)*ER175*EU175*VLOOKUP('Données projet'!$B$15,Paramètres!$A$1:$I$89,3,0)*0.475*44/12</f>
        <v>6.0891244502367696E-21</v>
      </c>
      <c r="EY175" s="22">
        <f t="shared" si="181"/>
        <v>0.45828565600192017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-1.1368683772161603E-12</v>
      </c>
      <c r="FF175" s="17">
        <f>FE175*VLOOKUP('Données projet'!$B$16,Paramètres!$A$1:$I$89,3,0)*VLOOKUP('Données projet'!$B$16,Paramètres!$A$1:$I$89,5,0)</f>
        <v>-5.4683368944097316E-13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252.30925789500111</v>
      </c>
      <c r="FK175" s="59">
        <f t="shared" si="156"/>
        <v>213.96033794804805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0.27828407665131588</v>
      </c>
      <c r="FR175" s="21">
        <f>EXP(-LN(2)/25)*FR174+(1-EXP(-LN(2)/25))/(LN(2)/25)*Calculateur!FM175*Calculateur!FO175*VLOOKUP('Données projet'!$B$16,Paramètres!$A$1:$I$89,3,0)*0.475*44/12</f>
        <v>0.18000157935060432</v>
      </c>
      <c r="FS175" s="21">
        <f>EXP(-LN(2)/2)*FS174+(1-EXP(-LN(2)/2))/(LN(2)/2)*FM175*FP175*VLOOKUP('Données projet'!$B$16,Paramètres!$A$1:$I$89,3,0)*0.475*44/12</f>
        <v>6.0891244502367696E-21</v>
      </c>
      <c r="FT175" s="22">
        <f t="shared" si="184"/>
        <v>0.45828565600192017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117.54638373164624</v>
      </c>
      <c r="GF175" s="59">
        <f t="shared" si="158"/>
        <v>133.0740262536583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0.13289910741859162</v>
      </c>
      <c r="GM175" s="21">
        <f>EXP(-LN(2)/25)*GM174+(1-EXP(-LN(2)/25))/(LN(2)/25)*Calculateur!GH175*Calculateur!GJ175*VLOOKUP('Données projet'!$B$17,Paramètres!$A$1:$I$89,3,0)*0.475*44/12</f>
        <v>0.16882869407349629</v>
      </c>
      <c r="GN175" s="21">
        <f>EXP(-LN(2)/2)*GN174+(1-EXP(-LN(2)/2))/(LN(2)/2)*GH175*GK175*VLOOKUP('Données projet'!$B$17,Paramètres!$A$1:$I$89,3,0)*0.475*44/12</f>
        <v>1.7133454700528E-21</v>
      </c>
      <c r="GO175" s="21">
        <f t="shared" si="187"/>
        <v>0.30172780149208789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2.8421709430404007E-14</v>
      </c>
      <c r="GV175" s="17">
        <f>GU175*VLOOKUP('Données projet'!$B$18,Paramètres!$A$1:$I$89,3,0)*VLOOKUP('Données projet'!$B$18,Paramètres!$A$1:$I$89,5,0)</f>
        <v>1.3567387213697657E-14</v>
      </c>
      <c r="GW175" s="13">
        <f t="shared" si="188"/>
        <v>2.5717320947985821E-13</v>
      </c>
      <c r="GX175" s="20">
        <f t="shared" si="189"/>
        <v>4.7153987257460977E-13</v>
      </c>
      <c r="GY175" s="59">
        <f t="shared" si="137"/>
        <v>293.33333333333377</v>
      </c>
      <c r="GZ175" s="59">
        <f ca="1">AVERAGE(OFFSET($GY$3,0,0,'Données projet'!$E$18+1,1))-AVERAGE(OFFSET($H$3,0,0,'Données projet'!$E$18+1,1))</f>
        <v>43.147469606759159</v>
      </c>
      <c r="HA175" s="59">
        <f t="shared" si="160"/>
        <v>147.46995307968473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2.1663505000697802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2.3343358006439757E-22</v>
      </c>
      <c r="HJ175" s="22">
        <f t="shared" si="190"/>
        <v>2.1663505000697802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2.8421709430404007E-14</v>
      </c>
      <c r="O176" s="13">
        <f>N176*VLOOKUP('Données projet'!$B$9,Paramètres!$A$1:$I$89,3,0)*VLOOKUP('Données projet'!$B$9,Paramètres!$A$1:$I$89,5,0)</f>
        <v>2.5715962692629544E-14</v>
      </c>
      <c r="P176" s="13">
        <f t="shared" si="141"/>
        <v>4.5248818890525812E-13</v>
      </c>
      <c r="Q176" s="20">
        <f t="shared" si="162"/>
        <v>8.3287223069965432E-13</v>
      </c>
      <c r="R176" s="59">
        <f t="shared" si="109"/>
        <v>293.33333333333417</v>
      </c>
      <c r="S176" s="59">
        <f ca="1">AVERAGE(OFFSET($R$3,0,0,'Données projet'!$E$9+1,1))-AVERAGE(OFFSET($H$3,0,0,'Données projet'!$E$9+1,1))</f>
        <v>138.8931001150624</v>
      </c>
      <c r="T176" s="59">
        <f t="shared" si="142"/>
        <v>48.964659354096625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-7.4487616075202836E-14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191.94797389630673</v>
      </c>
      <c r="AO176" s="59">
        <f t="shared" si="144"/>
        <v>273.52540822767878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0.2665186427834817</v>
      </c>
      <c r="AW176" s="21">
        <f>EXP(-LN(2)/2)*AW175+(1-EXP(-LN(2)/2))/(LN(2)/2)*AQ176*AT176*VLOOKUP('Données projet'!$B$10,Paramètres!$A$1:$I$89,3,0)*0.475*44/12</f>
        <v>6.9486530510974921E-21</v>
      </c>
      <c r="AX176" s="21">
        <f t="shared" si="166"/>
        <v>0.41815289961980295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3.5470293369144201E-14</v>
      </c>
      <c r="BF176" s="13">
        <f t="shared" si="167"/>
        <v>6.0119115841663204E-13</v>
      </c>
      <c r="BG176" s="20">
        <f t="shared" si="168"/>
        <v>1.1088520285268936E-12</v>
      </c>
      <c r="BH176" s="59">
        <f t="shared" si="116"/>
        <v>293.33333333333445</v>
      </c>
      <c r="BI176" s="59">
        <f ca="1">AVERAGE(OFFSET($BH$3,0,0,'Données projet'!$E$11+1,1))-AVERAGE(OFFSET($H$3,0,0,'Données projet'!$E$11+1,1))</f>
        <v>162.91481796710048</v>
      </c>
      <c r="BJ176" s="59">
        <f t="shared" si="146"/>
        <v>182.56192390367823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0.16380594887044458</v>
      </c>
      <c r="BQ176" s="21">
        <f>EXP(-LN(2)/25)*BQ175+(1-EXP(-LN(2)/25))/(LN(2)/25)*Calculateur!BL176*Calculateur!BN176*VLOOKUP('Données projet'!$B$11,Paramètres!$A$1:$I$89,3,0)*0.475*44/12</f>
        <v>0.28986242604783463</v>
      </c>
      <c r="BR176" s="21">
        <f>EXP(-LN(2)/2)*BR175+(1-EXP(-LN(2)/2))/(LN(2)/2)*BL176*BO176*VLOOKUP('Données projet'!$B$11,Paramètres!$A$1:$I$89,3,0)*0.475*44/12</f>
        <v>5.3814152990563148E-21</v>
      </c>
      <c r="BS176" s="22">
        <f t="shared" si="169"/>
        <v>0.45366837491827922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-5.3205440053716299E-14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123.60520571614535</v>
      </c>
      <c r="CE176" s="59">
        <f t="shared" si="148"/>
        <v>119.00926870519527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5.1079667538395365E-2</v>
      </c>
      <c r="CL176" s="21">
        <f>EXP(-LN(2)/25)*CL175+(1-EXP(-LN(2)/25))/(LN(2)/25)*Calculateur!CG176*Calculateur!CI176*VLOOKUP('Données projet'!$B$12,Paramètres!$A$1:$I$89,3,0)*0.475*44/12</f>
        <v>9.0623677724422161E-2</v>
      </c>
      <c r="CM176" s="21">
        <f>EXP(-LN(2)/2)*CM175+(1-EXP(-LN(2)/2))/(LN(2)/2)*CG176*CJ176*VLOOKUP('Données projet'!$B$12,Paramètres!$A$1:$I$89,3,0)*0.475*44/12</f>
        <v>1.8308812592744033E-21</v>
      </c>
      <c r="CN176" s="22">
        <f t="shared" si="172"/>
        <v>0.14170334526281753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2.9706370696658272E-14</v>
      </c>
      <c r="CV176" s="13">
        <f t="shared" si="173"/>
        <v>5.1399863782592153E-13</v>
      </c>
      <c r="CW176" s="20">
        <f t="shared" si="174"/>
        <v>9.4695288984349312E-13</v>
      </c>
      <c r="CX176" s="59">
        <f t="shared" si="122"/>
        <v>293.33333333333428</v>
      </c>
      <c r="CY176" s="59">
        <f ca="1">AVERAGE(OFFSET($CX$3,0,0,'Données projet'!$E$13+1,1))-AVERAGE(OFFSET($H$3,0,0,'Données projet'!$E$13+1,1))</f>
        <v>177.94336949486529</v>
      </c>
      <c r="CZ176" s="59">
        <f t="shared" si="150"/>
        <v>65.559373432574603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3.3992364478763198E-14</v>
      </c>
      <c r="DQ176" s="13">
        <f t="shared" si="176"/>
        <v>5.790027782444094E-13</v>
      </c>
      <c r="DR176" s="20">
        <f t="shared" si="177"/>
        <v>1.0676332069095257E-12</v>
      </c>
      <c r="DS176" s="59">
        <f t="shared" si="125"/>
        <v>293.33333333333439</v>
      </c>
      <c r="DT176" s="59">
        <f ca="1">AVERAGE(OFFSET($DS$3,0,0,'Données projet'!$E$14+1,1))-AVERAGE(OFFSET($H$3,0,0,'Données projet'!$E$14+1,1))</f>
        <v>165.39579887388538</v>
      </c>
      <c r="DU176" s="59">
        <f t="shared" si="152"/>
        <v>155.89639262545802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0.1382900653693647</v>
      </c>
      <c r="EC176" s="21">
        <f>EXP(-LN(2)/2)*EC175+(1-EXP(-LN(2)/2))/(LN(2)/2)*DW176*DZ176*VLOOKUP('Données projet'!$B$14,Paramètres!$A$1:$I$89,3,0)*0.475*44/12</f>
        <v>4.1566733235123935E-21</v>
      </c>
      <c r="ED176" s="22">
        <f t="shared" si="178"/>
        <v>0.1382900653693647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-1.1368683772161603E-12</v>
      </c>
      <c r="EK176" s="17">
        <f>EJ176*VLOOKUP('Données projet'!$B$15,Paramètres!$A$1:$I$89,3,0)*VLOOKUP('Données projet'!$B$15,Paramètres!$A$1:$I$89,5,0)</f>
        <v>-5.4683368944097316E-13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252.30925789500111</v>
      </c>
      <c r="EP176" s="59">
        <f t="shared" si="154"/>
        <v>213.96033794804805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0.27282709564471025</v>
      </c>
      <c r="EW176" s="21">
        <f>EXP(-LN(2)/25)*EW175+(1-EXP(-LN(2)/25))/(LN(2)/25)*Calculateur!ER176*Calculateur!ET176*VLOOKUP('Données projet'!$B$15,Paramètres!$A$1:$I$89,3,0)*0.475*44/12</f>
        <v>0.17507942669739038</v>
      </c>
      <c r="EX176" s="21">
        <f>EXP(-LN(2)/2)*EX175+(1-EXP(-LN(2)/2))/(LN(2)/2)*ER176*EU176*VLOOKUP('Données projet'!$B$15,Paramètres!$A$1:$I$89,3,0)*0.475*44/12</f>
        <v>4.3056611902512279E-21</v>
      </c>
      <c r="EY176" s="22">
        <f t="shared" si="181"/>
        <v>0.4479065223421006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-1.1368683772161603E-12</v>
      </c>
      <c r="FF176" s="17">
        <f>FE176*VLOOKUP('Données projet'!$B$16,Paramètres!$A$1:$I$89,3,0)*VLOOKUP('Données projet'!$B$16,Paramètres!$A$1:$I$89,5,0)</f>
        <v>-5.4683368944097316E-13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252.30925789500111</v>
      </c>
      <c r="FK176" s="59">
        <f t="shared" si="156"/>
        <v>213.96033794804805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0.27282709564471025</v>
      </c>
      <c r="FR176" s="21">
        <f>EXP(-LN(2)/25)*FR175+(1-EXP(-LN(2)/25))/(LN(2)/25)*Calculateur!FM176*Calculateur!FO176*VLOOKUP('Données projet'!$B$16,Paramètres!$A$1:$I$89,3,0)*0.475*44/12</f>
        <v>0.17507942669739038</v>
      </c>
      <c r="FS176" s="21">
        <f>EXP(-LN(2)/2)*FS175+(1-EXP(-LN(2)/2))/(LN(2)/2)*FM176*FP176*VLOOKUP('Données projet'!$B$16,Paramètres!$A$1:$I$89,3,0)*0.475*44/12</f>
        <v>4.3056611902512279E-21</v>
      </c>
      <c r="FT176" s="22">
        <f t="shared" si="184"/>
        <v>0.4479065223421006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117.54638373164624</v>
      </c>
      <c r="GF176" s="59">
        <f t="shared" si="158"/>
        <v>133.0740262536583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0.1302930369825645</v>
      </c>
      <c r="GM176" s="21">
        <f>EXP(-LN(2)/25)*GM175+(1-EXP(-LN(2)/25))/(LN(2)/25)*Calculateur!GH176*Calculateur!GJ176*VLOOKUP('Données projet'!$B$17,Paramètres!$A$1:$I$89,3,0)*0.475*44/12</f>
        <v>0.16421206455574139</v>
      </c>
      <c r="GN176" s="21">
        <f>EXP(-LN(2)/2)*GN175+(1-EXP(-LN(2)/2))/(LN(2)/2)*GH176*GK176*VLOOKUP('Données projet'!$B$17,Paramètres!$A$1:$I$89,3,0)*0.475*44/12</f>
        <v>1.2115182003895877E-21</v>
      </c>
      <c r="GO176" s="21">
        <f t="shared" si="187"/>
        <v>0.29450510153830589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2.8421709430404007E-14</v>
      </c>
      <c r="GV176" s="17">
        <f>GU176*VLOOKUP('Données projet'!$B$18,Paramètres!$A$1:$I$89,3,0)*VLOOKUP('Données projet'!$B$18,Paramètres!$A$1:$I$89,5,0)</f>
        <v>1.3567387213697657E-14</v>
      </c>
      <c r="GW176" s="13">
        <f t="shared" si="188"/>
        <v>2.5717320947985821E-13</v>
      </c>
      <c r="GX176" s="20">
        <f t="shared" si="189"/>
        <v>4.7153987257460977E-13</v>
      </c>
      <c r="GY176" s="59">
        <f t="shared" si="137"/>
        <v>293.33333333333377</v>
      </c>
      <c r="GZ176" s="59">
        <f ca="1">AVERAGE(OFFSET($GY$3,0,0,'Données projet'!$E$18+1,1))-AVERAGE(OFFSET($H$3,0,0,'Données projet'!$E$18+1,1))</f>
        <v>43.147469606759159</v>
      </c>
      <c r="HA176" s="59">
        <f t="shared" si="160"/>
        <v>147.46995307968473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2.1238696881067449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1.650624674201884E-22</v>
      </c>
      <c r="HJ176" s="22">
        <f t="shared" si="190"/>
        <v>2.1238696881067449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2.8421709430404007E-14</v>
      </c>
      <c r="O177" s="13">
        <f>N177*VLOOKUP('Données projet'!$B$9,Paramètres!$A$1:$I$89,3,0)*VLOOKUP('Données projet'!$B$9,Paramètres!$A$1:$I$89,5,0)</f>
        <v>2.5715962692629544E-14</v>
      </c>
      <c r="P177" s="13">
        <f t="shared" si="141"/>
        <v>4.5248818890525812E-13</v>
      </c>
      <c r="Q177" s="20">
        <f t="shared" si="162"/>
        <v>8.3287223069965432E-13</v>
      </c>
      <c r="R177" s="59">
        <f t="shared" si="109"/>
        <v>293.33333333333417</v>
      </c>
      <c r="S177" s="59">
        <f ca="1">AVERAGE(OFFSET($R$3,0,0,'Données projet'!$E$9+1,1))-AVERAGE(OFFSET($H$3,0,0,'Données projet'!$E$9+1,1))</f>
        <v>138.8931001150624</v>
      </c>
      <c r="T177" s="59">
        <f t="shared" si="142"/>
        <v>48.964659354096625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-7.4487616075202836E-14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191.94797389630673</v>
      </c>
      <c r="AO177" s="59">
        <f t="shared" si="144"/>
        <v>273.52540822767878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0.2592306764809611</v>
      </c>
      <c r="AW177" s="21">
        <f>EXP(-LN(2)/2)*AW176+(1-EXP(-LN(2)/2))/(LN(2)/2)*AQ177*AT177*VLOOKUP('Données projet'!$B$10,Paramètres!$A$1:$I$89,3,0)*0.475*44/12</f>
        <v>4.9134396925436303E-21</v>
      </c>
      <c r="AX177" s="21">
        <f t="shared" si="166"/>
        <v>0.40789147802848635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3.5470293369144201E-14</v>
      </c>
      <c r="BF177" s="13">
        <f t="shared" si="167"/>
        <v>6.0119115841663204E-13</v>
      </c>
      <c r="BG177" s="20">
        <f t="shared" si="168"/>
        <v>1.1088520285268936E-12</v>
      </c>
      <c r="BH177" s="59">
        <f t="shared" si="116"/>
        <v>293.33333333333445</v>
      </c>
      <c r="BI177" s="59">
        <f ca="1">AVERAGE(OFFSET($BH$3,0,0,'Données projet'!$E$11+1,1))-AVERAGE(OFFSET($H$3,0,0,'Données projet'!$E$11+1,1))</f>
        <v>162.91481796710048</v>
      </c>
      <c r="BJ177" s="59">
        <f t="shared" si="146"/>
        <v>182.56192390367823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0.16059381412485851</v>
      </c>
      <c r="BQ177" s="21">
        <f>EXP(-LN(2)/25)*BQ176+(1-EXP(-LN(2)/25))/(LN(2)/25)*Calculateur!BL177*Calculateur!BN177*VLOOKUP('Données projet'!$B$11,Paramètres!$A$1:$I$89,3,0)*0.475*44/12</f>
        <v>0.28193612276435409</v>
      </c>
      <c r="BR177" s="21">
        <f>EXP(-LN(2)/2)*BR176+(1-EXP(-LN(2)/2))/(LN(2)/2)*BL177*BO177*VLOOKUP('Données projet'!$B$11,Paramètres!$A$1:$I$89,3,0)*0.475*44/12</f>
        <v>3.8052352503437527E-21</v>
      </c>
      <c r="BS177" s="22">
        <f t="shared" si="169"/>
        <v>0.44252993688921261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-5.3205440053716299E-14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123.60520571614535</v>
      </c>
      <c r="CE177" s="59">
        <f t="shared" si="148"/>
        <v>119.00926870519527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5.0078026413488276E-2</v>
      </c>
      <c r="CL177" s="21">
        <f>EXP(-LN(2)/25)*CL176+(1-EXP(-LN(2)/25))/(LN(2)/25)*Calculateur!CG177*Calculateur!CI177*VLOOKUP('Données projet'!$B$12,Paramètres!$A$1:$I$89,3,0)*0.475*44/12</f>
        <v>8.8145568491355755E-2</v>
      </c>
      <c r="CM177" s="21">
        <f>EXP(-LN(2)/2)*CM176+(1-EXP(-LN(2)/2))/(LN(2)/2)*CG177*CJ177*VLOOKUP('Données projet'!$B$12,Paramètres!$A$1:$I$89,3,0)*0.475*44/12</f>
        <v>1.2946285539802961E-21</v>
      </c>
      <c r="CN177" s="22">
        <f t="shared" si="172"/>
        <v>0.13822359490484404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2.9706370696658272E-14</v>
      </c>
      <c r="CV177" s="13">
        <f t="shared" si="173"/>
        <v>5.1399863782592153E-13</v>
      </c>
      <c r="CW177" s="20">
        <f t="shared" si="174"/>
        <v>9.4695288984349312E-13</v>
      </c>
      <c r="CX177" s="59">
        <f t="shared" si="122"/>
        <v>293.33333333333428</v>
      </c>
      <c r="CY177" s="59">
        <f ca="1">AVERAGE(OFFSET($CX$3,0,0,'Données projet'!$E$13+1,1))-AVERAGE(OFFSET($H$3,0,0,'Données projet'!$E$13+1,1))</f>
        <v>177.94336949486529</v>
      </c>
      <c r="CZ177" s="59">
        <f t="shared" si="150"/>
        <v>65.559373432574603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3.3992364478763198E-14</v>
      </c>
      <c r="DQ177" s="13">
        <f t="shared" si="176"/>
        <v>5.790027782444094E-13</v>
      </c>
      <c r="DR177" s="20">
        <f t="shared" si="177"/>
        <v>1.0676332069095257E-12</v>
      </c>
      <c r="DS177" s="59">
        <f t="shared" si="125"/>
        <v>293.33333333333439</v>
      </c>
      <c r="DT177" s="59">
        <f ca="1">AVERAGE(OFFSET($DS$3,0,0,'Données projet'!$E$14+1,1))-AVERAGE(OFFSET($H$3,0,0,'Données projet'!$E$14+1,1))</f>
        <v>165.39579887388538</v>
      </c>
      <c r="DU177" s="59">
        <f t="shared" si="152"/>
        <v>155.89639262545802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0.13450851625948096</v>
      </c>
      <c r="EC177" s="21">
        <f>EXP(-LN(2)/2)*EC176+(1-EXP(-LN(2)/2))/(LN(2)/2)*DW177*DZ177*VLOOKUP('Données projet'!$B$14,Paramètres!$A$1:$I$89,3,0)*0.475*44/12</f>
        <v>2.9392118942328373E-21</v>
      </c>
      <c r="ED177" s="22">
        <f t="shared" si="178"/>
        <v>0.13450851625948096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-1.1368683772161603E-12</v>
      </c>
      <c r="EK177" s="17">
        <f>EJ177*VLOOKUP('Données projet'!$B$15,Paramètres!$A$1:$I$89,3,0)*VLOOKUP('Données projet'!$B$15,Paramètres!$A$1:$I$89,5,0)</f>
        <v>-5.4683368944097316E-13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252.30925789500111</v>
      </c>
      <c r="EP177" s="59">
        <f t="shared" si="154"/>
        <v>213.96033794804805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0.26747712270721441</v>
      </c>
      <c r="EW177" s="21">
        <f>EXP(-LN(2)/25)*EW176+(1-EXP(-LN(2)/25))/(LN(2)/25)*Calculateur!ER177*Calculateur!ET177*VLOOKUP('Données projet'!$B$15,Paramètres!$A$1:$I$89,3,0)*0.475*44/12</f>
        <v>0.17029187056732334</v>
      </c>
      <c r="EX177" s="21">
        <f>EXP(-LN(2)/2)*EX176+(1-EXP(-LN(2)/2))/(LN(2)/2)*ER177*EU177*VLOOKUP('Données projet'!$B$15,Paramètres!$A$1:$I$89,3,0)*0.475*44/12</f>
        <v>3.0445622251183848E-21</v>
      </c>
      <c r="EY177" s="22">
        <f t="shared" si="181"/>
        <v>0.43776899327453778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-1.1368683772161603E-12</v>
      </c>
      <c r="FF177" s="17">
        <f>FE177*VLOOKUP('Données projet'!$B$16,Paramètres!$A$1:$I$89,3,0)*VLOOKUP('Données projet'!$B$16,Paramètres!$A$1:$I$89,5,0)</f>
        <v>-5.4683368944097316E-13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252.30925789500111</v>
      </c>
      <c r="FK177" s="59">
        <f t="shared" si="156"/>
        <v>213.96033794804805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0.26747712270721441</v>
      </c>
      <c r="FR177" s="21">
        <f>EXP(-LN(2)/25)*FR176+(1-EXP(-LN(2)/25))/(LN(2)/25)*Calculateur!FM177*Calculateur!FO177*VLOOKUP('Données projet'!$B$16,Paramètres!$A$1:$I$89,3,0)*0.475*44/12</f>
        <v>0.17029187056732334</v>
      </c>
      <c r="FS177" s="21">
        <f>EXP(-LN(2)/2)*FS176+(1-EXP(-LN(2)/2))/(LN(2)/2)*FM177*FP177*VLOOKUP('Données projet'!$B$16,Paramètres!$A$1:$I$89,3,0)*0.475*44/12</f>
        <v>3.0445622251183848E-21</v>
      </c>
      <c r="FT177" s="22">
        <f t="shared" si="184"/>
        <v>0.43776899327453778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117.54638373164624</v>
      </c>
      <c r="GF177" s="59">
        <f t="shared" si="158"/>
        <v>133.0740262536583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0.12773806999824186</v>
      </c>
      <c r="GM177" s="21">
        <f>EXP(-LN(2)/25)*GM176+(1-EXP(-LN(2)/25))/(LN(2)/25)*Calculateur!GH177*Calculateur!GJ177*VLOOKUP('Données projet'!$B$17,Paramètres!$A$1:$I$89,3,0)*0.475*44/12</f>
        <v>0.15972167701492748</v>
      </c>
      <c r="GN177" s="21">
        <f>EXP(-LN(2)/2)*GN176+(1-EXP(-LN(2)/2))/(LN(2)/2)*GH177*GK177*VLOOKUP('Données projet'!$B$17,Paramètres!$A$1:$I$89,3,0)*0.475*44/12</f>
        <v>8.5667273502640002E-22</v>
      </c>
      <c r="GO177" s="21">
        <f t="shared" si="187"/>
        <v>0.28745974701316934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2.8421709430404007E-14</v>
      </c>
      <c r="GV177" s="17">
        <f>GU177*VLOOKUP('Données projet'!$B$18,Paramètres!$A$1:$I$89,3,0)*VLOOKUP('Données projet'!$B$18,Paramètres!$A$1:$I$89,5,0)</f>
        <v>1.3567387213697657E-14</v>
      </c>
      <c r="GW177" s="13">
        <f t="shared" si="188"/>
        <v>2.5717320947985821E-13</v>
      </c>
      <c r="GX177" s="20">
        <f t="shared" si="189"/>
        <v>4.7153987257460977E-13</v>
      </c>
      <c r="GY177" s="59">
        <f t="shared" si="137"/>
        <v>293.33333333333377</v>
      </c>
      <c r="GZ177" s="59">
        <f ca="1">AVERAGE(OFFSET($GY$3,0,0,'Données projet'!$E$18+1,1))-AVERAGE(OFFSET($H$3,0,0,'Données projet'!$E$18+1,1))</f>
        <v>43.147469606759159</v>
      </c>
      <c r="HA177" s="59">
        <f t="shared" si="160"/>
        <v>147.46995307968473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2.0822218989555679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1.1671679003219878E-22</v>
      </c>
      <c r="HJ177" s="22">
        <f t="shared" si="190"/>
        <v>2.0822218989555679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2.8421709430404007E-14</v>
      </c>
      <c r="O178" s="13">
        <f>N178*VLOOKUP('Données projet'!$B$9,Paramètres!$A$1:$I$89,3,0)*VLOOKUP('Données projet'!$B$9,Paramètres!$A$1:$I$89,5,0)</f>
        <v>2.5715962692629544E-14</v>
      </c>
      <c r="P178" s="13">
        <f t="shared" si="141"/>
        <v>4.5248818890525812E-13</v>
      </c>
      <c r="Q178" s="20">
        <f t="shared" si="162"/>
        <v>8.3287223069965432E-13</v>
      </c>
      <c r="R178" s="59">
        <f t="shared" si="109"/>
        <v>293.33333333333417</v>
      </c>
      <c r="S178" s="59">
        <f ca="1">AVERAGE(OFFSET($R$3,0,0,'Données projet'!$E$9+1,1))-AVERAGE(OFFSET($H$3,0,0,'Données projet'!$E$9+1,1))</f>
        <v>138.8931001150624</v>
      </c>
      <c r="T178" s="59">
        <f t="shared" si="142"/>
        <v>48.964659354096625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-7.4487616075202836E-14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191.94797389630673</v>
      </c>
      <c r="AO178" s="59">
        <f t="shared" si="144"/>
        <v>273.52540822767878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0.2521420000002404</v>
      </c>
      <c r="AW178" s="21">
        <f>EXP(-LN(2)/2)*AW177+(1-EXP(-LN(2)/2))/(LN(2)/2)*AQ178*AT178*VLOOKUP('Données projet'!$B$10,Paramètres!$A$1:$I$89,3,0)*0.475*44/12</f>
        <v>3.474326525548746E-21</v>
      </c>
      <c r="AX178" s="21">
        <f t="shared" si="166"/>
        <v>0.39788765390355429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3.5470293369144201E-14</v>
      </c>
      <c r="BF178" s="13">
        <f t="shared" si="167"/>
        <v>6.0119115841663204E-13</v>
      </c>
      <c r="BG178" s="20">
        <f t="shared" si="168"/>
        <v>1.1088520285268936E-12</v>
      </c>
      <c r="BH178" s="59">
        <f t="shared" si="116"/>
        <v>293.33333333333445</v>
      </c>
      <c r="BI178" s="59">
        <f ca="1">AVERAGE(OFFSET($BH$3,0,0,'Données projet'!$E$11+1,1))-AVERAGE(OFFSET($H$3,0,0,'Données projet'!$E$11+1,1))</f>
        <v>162.91481796710048</v>
      </c>
      <c r="BJ178" s="59">
        <f t="shared" si="146"/>
        <v>182.56192390367823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0.15744466738242463</v>
      </c>
      <c r="BQ178" s="21">
        <f>EXP(-LN(2)/25)*BQ177+(1-EXP(-LN(2)/25))/(LN(2)/25)*Calculateur!BL178*Calculateur!BN178*VLOOKUP('Données projet'!$B$11,Paramètres!$A$1:$I$89,3,0)*0.475*44/12</f>
        <v>0.27422656466098649</v>
      </c>
      <c r="BR178" s="21">
        <f>EXP(-LN(2)/2)*BR177+(1-EXP(-LN(2)/2))/(LN(2)/2)*BL178*BO178*VLOOKUP('Données projet'!$B$11,Paramètres!$A$1:$I$89,3,0)*0.475*44/12</f>
        <v>2.6907076495281574E-21</v>
      </c>
      <c r="BS178" s="22">
        <f t="shared" si="169"/>
        <v>0.43167123204341112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-5.3205440053716299E-14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123.60520571614535</v>
      </c>
      <c r="CE178" s="59">
        <f t="shared" si="148"/>
        <v>119.00926870519527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4.9096026860099853E-2</v>
      </c>
      <c r="CL178" s="21">
        <f>EXP(-LN(2)/25)*CL177+(1-EXP(-LN(2)/25))/(LN(2)/25)*Calculateur!CG178*Calculateur!CI178*VLOOKUP('Données projet'!$B$12,Paramètres!$A$1:$I$89,3,0)*0.475*44/12</f>
        <v>8.5735223285585638E-2</v>
      </c>
      <c r="CM178" s="21">
        <f>EXP(-LN(2)/2)*CM177+(1-EXP(-LN(2)/2))/(LN(2)/2)*CG178*CJ178*VLOOKUP('Données projet'!$B$12,Paramètres!$A$1:$I$89,3,0)*0.475*44/12</f>
        <v>9.1544062963720164E-22</v>
      </c>
      <c r="CN178" s="22">
        <f t="shared" si="172"/>
        <v>0.13483125014568548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2.9706370696658272E-14</v>
      </c>
      <c r="CV178" s="13">
        <f t="shared" si="173"/>
        <v>5.1399863782592153E-13</v>
      </c>
      <c r="CW178" s="20">
        <f t="shared" si="174"/>
        <v>9.4695288984349312E-13</v>
      </c>
      <c r="CX178" s="59">
        <f t="shared" si="122"/>
        <v>293.33333333333428</v>
      </c>
      <c r="CY178" s="59">
        <f ca="1">AVERAGE(OFFSET($CX$3,0,0,'Données projet'!$E$13+1,1))-AVERAGE(OFFSET($H$3,0,0,'Données projet'!$E$13+1,1))</f>
        <v>177.94336949486529</v>
      </c>
      <c r="CZ178" s="59">
        <f t="shared" si="150"/>
        <v>65.559373432574603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3.3992364478763198E-14</v>
      </c>
      <c r="DQ178" s="13">
        <f t="shared" si="176"/>
        <v>5.790027782444094E-13</v>
      </c>
      <c r="DR178" s="20">
        <f t="shared" si="177"/>
        <v>1.0676332069095257E-12</v>
      </c>
      <c r="DS178" s="59">
        <f t="shared" si="125"/>
        <v>293.33333333333439</v>
      </c>
      <c r="DT178" s="59">
        <f ca="1">AVERAGE(OFFSET($DS$3,0,0,'Données projet'!$E$14+1,1))-AVERAGE(OFFSET($H$3,0,0,'Données projet'!$E$14+1,1))</f>
        <v>165.39579887388538</v>
      </c>
      <c r="DU178" s="59">
        <f t="shared" si="152"/>
        <v>155.89639262545802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0.13083037380887</v>
      </c>
      <c r="EC178" s="21">
        <f>EXP(-LN(2)/2)*EC177+(1-EXP(-LN(2)/2))/(LN(2)/2)*DW178*DZ178*VLOOKUP('Données projet'!$B$14,Paramètres!$A$1:$I$89,3,0)*0.475*44/12</f>
        <v>2.0783366617561967E-21</v>
      </c>
      <c r="ED178" s="22">
        <f t="shared" si="178"/>
        <v>0.13083037380887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-1.1368683772161603E-12</v>
      </c>
      <c r="EK178" s="17">
        <f>EJ178*VLOOKUP('Données projet'!$B$15,Paramètres!$A$1:$I$89,3,0)*VLOOKUP('Données projet'!$B$15,Paramètres!$A$1:$I$89,5,0)</f>
        <v>-5.4683368944097316E-13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252.30925789500111</v>
      </c>
      <c r="EP178" s="59">
        <f t="shared" si="154"/>
        <v>213.96033794804805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0.26223205947586159</v>
      </c>
      <c r="EW178" s="21">
        <f>EXP(-LN(2)/25)*EW177+(1-EXP(-LN(2)/25))/(LN(2)/25)*Calculateur!ER178*Calculateur!ET178*VLOOKUP('Données projet'!$B$15,Paramètres!$A$1:$I$89,3,0)*0.475*44/12</f>
        <v>0.1656352304113996</v>
      </c>
      <c r="EX178" s="21">
        <f>EXP(-LN(2)/2)*EX177+(1-EXP(-LN(2)/2))/(LN(2)/2)*ER178*EU178*VLOOKUP('Données projet'!$B$15,Paramètres!$A$1:$I$89,3,0)*0.475*44/12</f>
        <v>2.1528305951256139E-21</v>
      </c>
      <c r="EY178" s="22">
        <f t="shared" si="181"/>
        <v>0.42786728988726119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-1.1368683772161603E-12</v>
      </c>
      <c r="FF178" s="17">
        <f>FE178*VLOOKUP('Données projet'!$B$16,Paramètres!$A$1:$I$89,3,0)*VLOOKUP('Données projet'!$B$16,Paramètres!$A$1:$I$89,5,0)</f>
        <v>-5.4683368944097316E-13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252.30925789500111</v>
      </c>
      <c r="FK178" s="59">
        <f t="shared" si="156"/>
        <v>213.96033794804805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0.26223205947586159</v>
      </c>
      <c r="FR178" s="21">
        <f>EXP(-LN(2)/25)*FR177+(1-EXP(-LN(2)/25))/(LN(2)/25)*Calculateur!FM178*Calculateur!FO178*VLOOKUP('Données projet'!$B$16,Paramètres!$A$1:$I$89,3,0)*0.475*44/12</f>
        <v>0.1656352304113996</v>
      </c>
      <c r="FS178" s="21">
        <f>EXP(-LN(2)/2)*FS177+(1-EXP(-LN(2)/2))/(LN(2)/2)*FM178*FP178*VLOOKUP('Données projet'!$B$16,Paramètres!$A$1:$I$89,3,0)*0.475*44/12</f>
        <v>2.1528305951256139E-21</v>
      </c>
      <c r="FT178" s="22">
        <f t="shared" si="184"/>
        <v>0.42786728988726119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117.54638373164624</v>
      </c>
      <c r="GF178" s="59">
        <f t="shared" si="158"/>
        <v>133.0740262536583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0.12523320435810581</v>
      </c>
      <c r="GM178" s="21">
        <f>EXP(-LN(2)/25)*GM177+(1-EXP(-LN(2)/25))/(LN(2)/25)*Calculateur!GH178*Calculateur!GJ178*VLOOKUP('Données projet'!$B$17,Paramètres!$A$1:$I$89,3,0)*0.475*44/12</f>
        <v>0.15535407935755635</v>
      </c>
      <c r="GN178" s="21">
        <f>EXP(-LN(2)/2)*GN177+(1-EXP(-LN(2)/2))/(LN(2)/2)*GH178*GK178*VLOOKUP('Données projet'!$B$17,Paramètres!$A$1:$I$89,3,0)*0.475*44/12</f>
        <v>6.0575910019479385E-22</v>
      </c>
      <c r="GO178" s="21">
        <f t="shared" si="187"/>
        <v>0.28058728371566216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2.8421709430404007E-14</v>
      </c>
      <c r="GV178" s="17">
        <f>GU178*VLOOKUP('Données projet'!$B$18,Paramètres!$A$1:$I$89,3,0)*VLOOKUP('Données projet'!$B$18,Paramètres!$A$1:$I$89,5,0)</f>
        <v>1.3567387213697657E-14</v>
      </c>
      <c r="GW178" s="13">
        <f t="shared" si="188"/>
        <v>2.5717320947985821E-13</v>
      </c>
      <c r="GX178" s="20">
        <f t="shared" si="189"/>
        <v>4.7153987257460977E-13</v>
      </c>
      <c r="GY178" s="59">
        <f t="shared" si="137"/>
        <v>293.33333333333377</v>
      </c>
      <c r="GZ178" s="59">
        <f ca="1">AVERAGE(OFFSET($GY$3,0,0,'Données projet'!$E$18+1,1))-AVERAGE(OFFSET($H$3,0,0,'Données projet'!$E$18+1,1))</f>
        <v>43.147469606759159</v>
      </c>
      <c r="HA178" s="59">
        <f t="shared" si="160"/>
        <v>147.46995307968473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2.0413907975470025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8.25312337100942E-23</v>
      </c>
      <c r="HJ178" s="22">
        <f t="shared" si="190"/>
        <v>2.0413907975470025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2.8421709430404007E-14</v>
      </c>
      <c r="O179" s="13">
        <f>N179*VLOOKUP('Données projet'!$B$9,Paramètres!$A$1:$I$89,3,0)*VLOOKUP('Données projet'!$B$9,Paramètres!$A$1:$I$89,5,0)</f>
        <v>2.5715962692629544E-14</v>
      </c>
      <c r="P179" s="13">
        <f t="shared" si="141"/>
        <v>4.5248818890525812E-13</v>
      </c>
      <c r="Q179" s="20">
        <f t="shared" si="162"/>
        <v>8.3287223069965432E-13</v>
      </c>
      <c r="R179" s="59">
        <f t="shared" si="109"/>
        <v>293.33333333333417</v>
      </c>
      <c r="S179" s="59">
        <f ca="1">AVERAGE(OFFSET($R$3,0,0,'Données projet'!$E$9+1,1))-AVERAGE(OFFSET($H$3,0,0,'Données projet'!$E$9+1,1))</f>
        <v>138.8931001150624</v>
      </c>
      <c r="T179" s="59">
        <f t="shared" si="142"/>
        <v>48.964659354096625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-7.4487616075202836E-14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191.94797389630673</v>
      </c>
      <c r="AO179" s="59">
        <f t="shared" si="144"/>
        <v>273.52540822767878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0.24524716375066233</v>
      </c>
      <c r="AW179" s="21">
        <f>EXP(-LN(2)/2)*AW178+(1-EXP(-LN(2)/2))/(LN(2)/2)*AQ179*AT179*VLOOKUP('Données projet'!$B$10,Paramètres!$A$1:$I$89,3,0)*0.475*44/12</f>
        <v>2.4567198462718152E-21</v>
      </c>
      <c r="AX179" s="21">
        <f t="shared" si="166"/>
        <v>0.3881348342770034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3.5470293369144201E-14</v>
      </c>
      <c r="BF179" s="13">
        <f t="shared" si="167"/>
        <v>6.0119115841663204E-13</v>
      </c>
      <c r="BG179" s="20">
        <f t="shared" si="168"/>
        <v>1.1088520285268936E-12</v>
      </c>
      <c r="BH179" s="59">
        <f t="shared" si="116"/>
        <v>293.33333333333445</v>
      </c>
      <c r="BI179" s="59">
        <f ca="1">AVERAGE(OFFSET($BH$3,0,0,'Données projet'!$E$11+1,1))-AVERAGE(OFFSET($H$3,0,0,'Données projet'!$E$11+1,1))</f>
        <v>162.91481796710048</v>
      </c>
      <c r="BJ179" s="59">
        <f t="shared" si="146"/>
        <v>182.56192390367823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0.15435727348682005</v>
      </c>
      <c r="BQ179" s="21">
        <f>EXP(-LN(2)/25)*BQ178+(1-EXP(-LN(2)/25))/(LN(2)/25)*Calculateur!BL179*Calculateur!BN179*VLOOKUP('Données projet'!$B$11,Paramètres!$A$1:$I$89,3,0)*0.475*44/12</f>
        <v>0.26672782482938351</v>
      </c>
      <c r="BR179" s="21">
        <f>EXP(-LN(2)/2)*BR178+(1-EXP(-LN(2)/2))/(LN(2)/2)*BL179*BO179*VLOOKUP('Données projet'!$B$11,Paramètres!$A$1:$I$89,3,0)*0.475*44/12</f>
        <v>1.9026176251718763E-21</v>
      </c>
      <c r="BS179" s="22">
        <f t="shared" si="169"/>
        <v>0.42108509831620355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-5.3205440053716299E-14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123.60520571614535</v>
      </c>
      <c r="CE179" s="59">
        <f t="shared" si="148"/>
        <v>119.00926870519527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4.8133283718992795E-2</v>
      </c>
      <c r="CL179" s="21">
        <f>EXP(-LN(2)/25)*CL178+(1-EXP(-LN(2)/25))/(LN(2)/25)*Calculateur!CG179*Calculateur!CI179*VLOOKUP('Données projet'!$B$12,Paramètres!$A$1:$I$89,3,0)*0.475*44/12</f>
        <v>8.3390789096221857E-2</v>
      </c>
      <c r="CM179" s="21">
        <f>EXP(-LN(2)/2)*CM178+(1-EXP(-LN(2)/2))/(LN(2)/2)*CG179*CJ179*VLOOKUP('Données projet'!$B$12,Paramètres!$A$1:$I$89,3,0)*0.475*44/12</f>
        <v>6.4731427699014805E-22</v>
      </c>
      <c r="CN179" s="22">
        <f t="shared" si="172"/>
        <v>0.13152407281521467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2.9706370696658272E-14</v>
      </c>
      <c r="CV179" s="13">
        <f t="shared" si="173"/>
        <v>5.1399863782592153E-13</v>
      </c>
      <c r="CW179" s="20">
        <f t="shared" si="174"/>
        <v>9.4695288984349312E-13</v>
      </c>
      <c r="CX179" s="59">
        <f t="shared" si="122"/>
        <v>293.33333333333428</v>
      </c>
      <c r="CY179" s="59">
        <f ca="1">AVERAGE(OFFSET($CX$3,0,0,'Données projet'!$E$13+1,1))-AVERAGE(OFFSET($H$3,0,0,'Données projet'!$E$13+1,1))</f>
        <v>177.94336949486529</v>
      </c>
      <c r="CZ179" s="59">
        <f t="shared" si="150"/>
        <v>65.559373432574603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3.3992364478763198E-14</v>
      </c>
      <c r="DQ179" s="13">
        <f t="shared" si="176"/>
        <v>5.790027782444094E-13</v>
      </c>
      <c r="DR179" s="20">
        <f t="shared" si="177"/>
        <v>1.0676332069095257E-12</v>
      </c>
      <c r="DS179" s="59">
        <f t="shared" si="125"/>
        <v>293.33333333333439</v>
      </c>
      <c r="DT179" s="59">
        <f ca="1">AVERAGE(OFFSET($DS$3,0,0,'Données projet'!$E$14+1,1))-AVERAGE(OFFSET($H$3,0,0,'Données projet'!$E$14+1,1))</f>
        <v>165.39579887388538</v>
      </c>
      <c r="DU179" s="59">
        <f t="shared" si="152"/>
        <v>155.89639262545802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0.12725281035699609</v>
      </c>
      <c r="EC179" s="21">
        <f>EXP(-LN(2)/2)*EC178+(1-EXP(-LN(2)/2))/(LN(2)/2)*DW179*DZ179*VLOOKUP('Données projet'!$B$14,Paramètres!$A$1:$I$89,3,0)*0.475*44/12</f>
        <v>1.4696059471164187E-21</v>
      </c>
      <c r="ED179" s="22">
        <f t="shared" si="178"/>
        <v>0.12725281035699609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-1.1368683772161603E-12</v>
      </c>
      <c r="EK179" s="17">
        <f>EJ179*VLOOKUP('Données projet'!$B$15,Paramètres!$A$1:$I$89,3,0)*VLOOKUP('Données projet'!$B$15,Paramètres!$A$1:$I$89,5,0)</f>
        <v>-5.4683368944097316E-13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252.30925789500111</v>
      </c>
      <c r="EP179" s="59">
        <f t="shared" si="154"/>
        <v>213.96033794804805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0.25708984873530288</v>
      </c>
      <c r="EW179" s="21">
        <f>EXP(-LN(2)/25)*EW178+(1-EXP(-LN(2)/25))/(LN(2)/25)*Calculateur!ER179*Calculateur!ET179*VLOOKUP('Données projet'!$B$15,Paramètres!$A$1:$I$89,3,0)*0.475*44/12</f>
        <v>0.16110592632542167</v>
      </c>
      <c r="EX179" s="21">
        <f>EXP(-LN(2)/2)*EX178+(1-EXP(-LN(2)/2))/(LN(2)/2)*ER179*EU179*VLOOKUP('Données projet'!$B$15,Paramètres!$A$1:$I$89,3,0)*0.475*44/12</f>
        <v>1.5222811125591924E-21</v>
      </c>
      <c r="EY179" s="22">
        <f t="shared" si="181"/>
        <v>0.41819577506072458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-1.1368683772161603E-12</v>
      </c>
      <c r="FF179" s="17">
        <f>FE179*VLOOKUP('Données projet'!$B$16,Paramètres!$A$1:$I$89,3,0)*VLOOKUP('Données projet'!$B$16,Paramètres!$A$1:$I$89,5,0)</f>
        <v>-5.4683368944097316E-13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252.30925789500111</v>
      </c>
      <c r="FK179" s="59">
        <f t="shared" si="156"/>
        <v>213.96033794804805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0.25708984873530288</v>
      </c>
      <c r="FR179" s="21">
        <f>EXP(-LN(2)/25)*FR178+(1-EXP(-LN(2)/25))/(LN(2)/25)*Calculateur!FM179*Calculateur!FO179*VLOOKUP('Données projet'!$B$16,Paramètres!$A$1:$I$89,3,0)*0.475*44/12</f>
        <v>0.16110592632542167</v>
      </c>
      <c r="FS179" s="21">
        <f>EXP(-LN(2)/2)*FS178+(1-EXP(-LN(2)/2))/(LN(2)/2)*FM179*FP179*VLOOKUP('Données projet'!$B$16,Paramètres!$A$1:$I$89,3,0)*0.475*44/12</f>
        <v>1.5222811125591924E-21</v>
      </c>
      <c r="FT179" s="22">
        <f t="shared" si="184"/>
        <v>0.41819577506072458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117.54638373164624</v>
      </c>
      <c r="GF179" s="59">
        <f t="shared" si="158"/>
        <v>133.0740262536583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0.12277745760535565</v>
      </c>
      <c r="GM179" s="21">
        <f>EXP(-LN(2)/25)*GM178+(1-EXP(-LN(2)/25))/(LN(2)/25)*Calculateur!GH179*Calculateur!GJ179*VLOOKUP('Données projet'!$B$17,Paramètres!$A$1:$I$89,3,0)*0.475*44/12</f>
        <v>0.151105913887808</v>
      </c>
      <c r="GN179" s="21">
        <f>EXP(-LN(2)/2)*GN178+(1-EXP(-LN(2)/2))/(LN(2)/2)*GH179*GK179*VLOOKUP('Données projet'!$B$17,Paramètres!$A$1:$I$89,3,0)*0.475*44/12</f>
        <v>4.2833636751320001E-22</v>
      </c>
      <c r="GO179" s="21">
        <f t="shared" si="187"/>
        <v>0.27388337149316366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2.8421709430404007E-14</v>
      </c>
      <c r="GV179" s="17">
        <f>GU179*VLOOKUP('Données projet'!$B$18,Paramètres!$A$1:$I$89,3,0)*VLOOKUP('Données projet'!$B$18,Paramètres!$A$1:$I$89,5,0)</f>
        <v>1.3567387213697657E-14</v>
      </c>
      <c r="GW179" s="13">
        <f t="shared" si="188"/>
        <v>2.5717320947985821E-13</v>
      </c>
      <c r="GX179" s="20">
        <f t="shared" si="189"/>
        <v>4.7153987257460977E-13</v>
      </c>
      <c r="GY179" s="59">
        <f t="shared" si="137"/>
        <v>293.33333333333377</v>
      </c>
      <c r="GZ179" s="59">
        <f ca="1">AVERAGE(OFFSET($GY$3,0,0,'Données projet'!$E$18+1,1))-AVERAGE(OFFSET($H$3,0,0,'Données projet'!$E$18+1,1))</f>
        <v>43.147469606759159</v>
      </c>
      <c r="HA179" s="59">
        <f t="shared" si="160"/>
        <v>147.46995307968473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2.0013603691325463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5.8358395016099392E-23</v>
      </c>
      <c r="HJ179" s="22">
        <f t="shared" si="190"/>
        <v>2.0013603691325463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2.8421709430404007E-14</v>
      </c>
      <c r="O180" s="13">
        <f>N180*VLOOKUP('Données projet'!$B$9,Paramètres!$A$1:$I$89,3,0)*VLOOKUP('Données projet'!$B$9,Paramètres!$A$1:$I$89,5,0)</f>
        <v>2.5715962692629544E-14</v>
      </c>
      <c r="P180" s="13">
        <f t="shared" si="141"/>
        <v>4.5248818890525812E-13</v>
      </c>
      <c r="Q180" s="20">
        <f t="shared" si="162"/>
        <v>8.3287223069965432E-13</v>
      </c>
      <c r="R180" s="59">
        <f t="shared" si="109"/>
        <v>293.33333333333417</v>
      </c>
      <c r="S180" s="59">
        <f ca="1">AVERAGE(OFFSET($R$3,0,0,'Données projet'!$E$9+1,1))-AVERAGE(OFFSET($H$3,0,0,'Données projet'!$E$9+1,1))</f>
        <v>138.8931001150624</v>
      </c>
      <c r="T180" s="59">
        <f t="shared" si="142"/>
        <v>48.964659354096625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-7.4487616075202836E-14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191.94797389630673</v>
      </c>
      <c r="AO180" s="59">
        <f t="shared" si="144"/>
        <v>273.52540822767878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0.23854086716091263</v>
      </c>
      <c r="AW180" s="21">
        <f>EXP(-LN(2)/2)*AW179+(1-EXP(-LN(2)/2))/(LN(2)/2)*AQ180*AT180*VLOOKUP('Données projet'!$B$10,Paramètres!$A$1:$I$89,3,0)*0.475*44/12</f>
        <v>1.737163262774373E-21</v>
      </c>
      <c r="AX180" s="21">
        <f t="shared" si="166"/>
        <v>0.37862659762110557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3.5470293369144201E-14</v>
      </c>
      <c r="BF180" s="13">
        <f t="shared" si="167"/>
        <v>6.0119115841663204E-13</v>
      </c>
      <c r="BG180" s="20">
        <f t="shared" si="168"/>
        <v>1.1088520285268936E-12</v>
      </c>
      <c r="BH180" s="59">
        <f t="shared" si="116"/>
        <v>293.33333333333445</v>
      </c>
      <c r="BI180" s="59">
        <f ca="1">AVERAGE(OFFSET($BH$3,0,0,'Données projet'!$E$11+1,1))-AVERAGE(OFFSET($H$3,0,0,'Données projet'!$E$11+1,1))</f>
        <v>162.91481796710048</v>
      </c>
      <c r="BJ180" s="59">
        <f t="shared" si="146"/>
        <v>182.56192390367823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0.15133042150238393</v>
      </c>
      <c r="BQ180" s="21">
        <f>EXP(-LN(2)/25)*BQ179+(1-EXP(-LN(2)/25))/(LN(2)/25)*Calculateur!BL180*Calculateur!BN180*VLOOKUP('Données projet'!$B$11,Paramètres!$A$1:$I$89,3,0)*0.475*44/12</f>
        <v>0.25943413843281732</v>
      </c>
      <c r="BR180" s="21">
        <f>EXP(-LN(2)/2)*BR179+(1-EXP(-LN(2)/2))/(LN(2)/2)*BL180*BO180*VLOOKUP('Données projet'!$B$11,Paramètres!$A$1:$I$89,3,0)*0.475*44/12</f>
        <v>1.3453538247640787E-21</v>
      </c>
      <c r="BS180" s="22">
        <f t="shared" si="169"/>
        <v>0.41076455993520122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-5.3205440053716299E-14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123.60520571614535</v>
      </c>
      <c r="CE180" s="59">
        <f t="shared" si="148"/>
        <v>119.00926870519527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4.7189419383667511E-2</v>
      </c>
      <c r="CL180" s="21">
        <f>EXP(-LN(2)/25)*CL179+(1-EXP(-LN(2)/25))/(LN(2)/25)*Calculateur!CG180*Calculateur!CI180*VLOOKUP('Données projet'!$B$12,Paramètres!$A$1:$I$89,3,0)*0.475*44/12</f>
        <v>8.1110463583054668E-2</v>
      </c>
      <c r="CM180" s="21">
        <f>EXP(-LN(2)/2)*CM179+(1-EXP(-LN(2)/2))/(LN(2)/2)*CG180*CJ180*VLOOKUP('Données projet'!$B$12,Paramètres!$A$1:$I$89,3,0)*0.475*44/12</f>
        <v>4.5772031481860082E-22</v>
      </c>
      <c r="CN180" s="22">
        <f t="shared" si="172"/>
        <v>0.12829988296672218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2.9706370696658272E-14</v>
      </c>
      <c r="CV180" s="13">
        <f t="shared" si="173"/>
        <v>5.1399863782592153E-13</v>
      </c>
      <c r="CW180" s="20">
        <f t="shared" si="174"/>
        <v>9.4695288984349312E-13</v>
      </c>
      <c r="CX180" s="59">
        <f t="shared" si="122"/>
        <v>293.33333333333428</v>
      </c>
      <c r="CY180" s="59">
        <f ca="1">AVERAGE(OFFSET($CX$3,0,0,'Données projet'!$E$13+1,1))-AVERAGE(OFFSET($H$3,0,0,'Données projet'!$E$13+1,1))</f>
        <v>177.94336949486529</v>
      </c>
      <c r="CZ180" s="59">
        <f t="shared" si="150"/>
        <v>65.559373432574603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3.3992364478763198E-14</v>
      </c>
      <c r="DQ180" s="13">
        <f t="shared" si="176"/>
        <v>5.790027782444094E-13</v>
      </c>
      <c r="DR180" s="20">
        <f t="shared" si="177"/>
        <v>1.0676332069095257E-12</v>
      </c>
      <c r="DS180" s="59">
        <f t="shared" si="125"/>
        <v>293.33333333333439</v>
      </c>
      <c r="DT180" s="59">
        <f ca="1">AVERAGE(OFFSET($DS$3,0,0,'Données projet'!$E$14+1,1))-AVERAGE(OFFSET($H$3,0,0,'Données projet'!$E$14+1,1))</f>
        <v>165.39579887388538</v>
      </c>
      <c r="DU180" s="59">
        <f t="shared" si="152"/>
        <v>155.89639262545802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0.12377307556584957</v>
      </c>
      <c r="EC180" s="21">
        <f>EXP(-LN(2)/2)*EC179+(1-EXP(-LN(2)/2))/(LN(2)/2)*DW180*DZ180*VLOOKUP('Données projet'!$B$14,Paramètres!$A$1:$I$89,3,0)*0.475*44/12</f>
        <v>1.0391683308780984E-21</v>
      </c>
      <c r="ED180" s="22">
        <f t="shared" si="178"/>
        <v>0.12377307556584957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-1.1368683772161603E-12</v>
      </c>
      <c r="EK180" s="17">
        <f>EJ180*VLOOKUP('Données projet'!$B$15,Paramètres!$A$1:$I$89,3,0)*VLOOKUP('Données projet'!$B$15,Paramètres!$A$1:$I$89,5,0)</f>
        <v>-5.4683368944097316E-13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252.30925789500111</v>
      </c>
      <c r="EP180" s="59">
        <f t="shared" si="154"/>
        <v>213.96033794804805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0.25204847361092769</v>
      </c>
      <c r="EW180" s="21">
        <f>EXP(-LN(2)/25)*EW179+(1-EXP(-LN(2)/25))/(LN(2)/25)*Calculateur!ER180*Calculateur!ET180*VLOOKUP('Données projet'!$B$15,Paramètres!$A$1:$I$89,3,0)*0.475*44/12</f>
        <v>0.15670047629786057</v>
      </c>
      <c r="EX180" s="21">
        <f>EXP(-LN(2)/2)*EX179+(1-EXP(-LN(2)/2))/(LN(2)/2)*ER180*EU180*VLOOKUP('Données projet'!$B$15,Paramètres!$A$1:$I$89,3,0)*0.475*44/12</f>
        <v>1.076415297562807E-21</v>
      </c>
      <c r="EY180" s="22">
        <f t="shared" si="181"/>
        <v>0.40874894990878829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-1.1368683772161603E-12</v>
      </c>
      <c r="FF180" s="17">
        <f>FE180*VLOOKUP('Données projet'!$B$16,Paramètres!$A$1:$I$89,3,0)*VLOOKUP('Données projet'!$B$16,Paramètres!$A$1:$I$89,5,0)</f>
        <v>-5.4683368944097316E-13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252.30925789500111</v>
      </c>
      <c r="FK180" s="59">
        <f t="shared" si="156"/>
        <v>213.96033794804805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0.25204847361092769</v>
      </c>
      <c r="FR180" s="21">
        <f>EXP(-LN(2)/25)*FR179+(1-EXP(-LN(2)/25))/(LN(2)/25)*Calculateur!FM180*Calculateur!FO180*VLOOKUP('Données projet'!$B$16,Paramètres!$A$1:$I$89,3,0)*0.475*44/12</f>
        <v>0.15670047629786057</v>
      </c>
      <c r="FS180" s="21">
        <f>EXP(-LN(2)/2)*FS179+(1-EXP(-LN(2)/2))/(LN(2)/2)*FM180*FP180*VLOOKUP('Données projet'!$B$16,Paramètres!$A$1:$I$89,3,0)*0.475*44/12</f>
        <v>1.076415297562807E-21</v>
      </c>
      <c r="FT180" s="22">
        <f t="shared" si="184"/>
        <v>0.40874894990878829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117.54638373164624</v>
      </c>
      <c r="GF180" s="59">
        <f t="shared" si="158"/>
        <v>133.0740262536583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0.12036986654856929</v>
      </c>
      <c r="GM180" s="21">
        <f>EXP(-LN(2)/25)*GM179+(1-EXP(-LN(2)/25))/(LN(2)/25)*Calculateur!GH180*Calculateur!GJ180*VLOOKUP('Données projet'!$B$17,Paramètres!$A$1:$I$89,3,0)*0.475*44/12</f>
        <v>0.14697391472623123</v>
      </c>
      <c r="GN180" s="21">
        <f>EXP(-LN(2)/2)*GN179+(1-EXP(-LN(2)/2))/(LN(2)/2)*GH180*GK180*VLOOKUP('Données projet'!$B$17,Paramètres!$A$1:$I$89,3,0)*0.475*44/12</f>
        <v>3.0287955009739693E-22</v>
      </c>
      <c r="GO180" s="21">
        <f t="shared" si="187"/>
        <v>0.26734378127480052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2.8421709430404007E-14</v>
      </c>
      <c r="GV180" s="17">
        <f>GU180*VLOOKUP('Données projet'!$B$18,Paramètres!$A$1:$I$89,3,0)*VLOOKUP('Données projet'!$B$18,Paramètres!$A$1:$I$89,5,0)</f>
        <v>1.3567387213697657E-14</v>
      </c>
      <c r="GW180" s="13">
        <f t="shared" si="188"/>
        <v>2.5717320947985821E-13</v>
      </c>
      <c r="GX180" s="20">
        <f t="shared" si="189"/>
        <v>4.7153987257460977E-13</v>
      </c>
      <c r="GY180" s="59">
        <f t="shared" si="137"/>
        <v>293.33333333333377</v>
      </c>
      <c r="GZ180" s="59">
        <f ca="1">AVERAGE(OFFSET($GY$3,0,0,'Données projet'!$E$18+1,1))-AVERAGE(OFFSET($H$3,0,0,'Données projet'!$E$18+1,1))</f>
        <v>43.147469606759159</v>
      </c>
      <c r="HA180" s="59">
        <f t="shared" si="160"/>
        <v>147.46995307968473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1.9621149130031472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4.12656168550471E-23</v>
      </c>
      <c r="HJ180" s="22">
        <f t="shared" si="190"/>
        <v>1.9621149130031472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2.8421709430404007E-14</v>
      </c>
      <c r="O181" s="13">
        <f>N181*VLOOKUP('Données projet'!$B$9,Paramètres!$A$1:$I$89,3,0)*VLOOKUP('Données projet'!$B$9,Paramètres!$A$1:$I$89,5,0)</f>
        <v>2.5715962692629544E-14</v>
      </c>
      <c r="P181" s="13">
        <f t="shared" si="141"/>
        <v>4.5248818890525812E-13</v>
      </c>
      <c r="Q181" s="20">
        <f t="shared" si="162"/>
        <v>8.3287223069965432E-13</v>
      </c>
      <c r="R181" s="59">
        <f t="shared" si="109"/>
        <v>293.33333333333417</v>
      </c>
      <c r="S181" s="59">
        <f ca="1">AVERAGE(OFFSET($R$3,0,0,'Données projet'!$E$9+1,1))-AVERAGE(OFFSET($H$3,0,0,'Données projet'!$E$9+1,1))</f>
        <v>138.8931001150624</v>
      </c>
      <c r="T181" s="59">
        <f t="shared" si="142"/>
        <v>48.964659354096625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-7.4487616075202836E-14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191.94797389630673</v>
      </c>
      <c r="AO181" s="59">
        <f t="shared" si="144"/>
        <v>273.52540822767878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0.23201795460407848</v>
      </c>
      <c r="AW181" s="21">
        <f>EXP(-LN(2)/2)*AW180+(1-EXP(-LN(2)/2))/(LN(2)/2)*AQ181*AT181*VLOOKUP('Données projet'!$B$10,Paramètres!$A$1:$I$89,3,0)*0.475*44/12</f>
        <v>1.2283599231359076E-21</v>
      </c>
      <c r="AX181" s="21">
        <f t="shared" si="166"/>
        <v>0.36935668933380572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3.5470293369144201E-14</v>
      </c>
      <c r="BF181" s="13">
        <f t="shared" si="167"/>
        <v>6.0119115841663204E-13</v>
      </c>
      <c r="BG181" s="20">
        <f t="shared" si="168"/>
        <v>1.1088520285268936E-12</v>
      </c>
      <c r="BH181" s="59">
        <f t="shared" si="116"/>
        <v>293.33333333333445</v>
      </c>
      <c r="BI181" s="59">
        <f ca="1">AVERAGE(OFFSET($BH$3,0,0,'Données projet'!$E$11+1,1))-AVERAGE(OFFSET($H$3,0,0,'Données projet'!$E$11+1,1))</f>
        <v>162.91481796710048</v>
      </c>
      <c r="BJ181" s="59">
        <f t="shared" si="146"/>
        <v>182.56192390367823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0.14836292423916519</v>
      </c>
      <c r="BQ181" s="21">
        <f>EXP(-LN(2)/25)*BQ180+(1-EXP(-LN(2)/25))/(LN(2)/25)*Calculateur!BL181*Calculateur!BN181*VLOOKUP('Données projet'!$B$11,Paramètres!$A$1:$I$89,3,0)*0.475*44/12</f>
        <v>0.25233989827432352</v>
      </c>
      <c r="BR181" s="21">
        <f>EXP(-LN(2)/2)*BR180+(1-EXP(-LN(2)/2))/(LN(2)/2)*BL181*BO181*VLOOKUP('Données projet'!$B$11,Paramètres!$A$1:$I$89,3,0)*0.475*44/12</f>
        <v>9.5130881258593817E-22</v>
      </c>
      <c r="BS181" s="22">
        <f t="shared" si="169"/>
        <v>0.40070282251348871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-5.3205440053716299E-14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123.60520571614535</v>
      </c>
      <c r="CE181" s="59">
        <f t="shared" si="148"/>
        <v>119.00926870519527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4.6264063652257562E-2</v>
      </c>
      <c r="CL181" s="21">
        <f>EXP(-LN(2)/25)*CL180+(1-EXP(-LN(2)/25))/(LN(2)/25)*Calculateur!CG181*Calculateur!CI181*VLOOKUP('Données projet'!$B$12,Paramètres!$A$1:$I$89,3,0)*0.475*44/12</f>
        <v>7.8892493690962143E-2</v>
      </c>
      <c r="CM181" s="21">
        <f>EXP(-LN(2)/2)*CM180+(1-EXP(-LN(2)/2))/(LN(2)/2)*CG181*CJ181*VLOOKUP('Données projet'!$B$12,Paramètres!$A$1:$I$89,3,0)*0.475*44/12</f>
        <v>3.2365713849507402E-22</v>
      </c>
      <c r="CN181" s="22">
        <f t="shared" si="172"/>
        <v>0.1251565573432197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2.9706370696658272E-14</v>
      </c>
      <c r="CV181" s="13">
        <f t="shared" si="173"/>
        <v>5.1399863782592153E-13</v>
      </c>
      <c r="CW181" s="20">
        <f t="shared" si="174"/>
        <v>9.4695288984349312E-13</v>
      </c>
      <c r="CX181" s="59">
        <f t="shared" si="122"/>
        <v>293.33333333333428</v>
      </c>
      <c r="CY181" s="59">
        <f ca="1">AVERAGE(OFFSET($CX$3,0,0,'Données projet'!$E$13+1,1))-AVERAGE(OFFSET($H$3,0,0,'Données projet'!$E$13+1,1))</f>
        <v>177.94336949486529</v>
      </c>
      <c r="CZ181" s="59">
        <f t="shared" si="150"/>
        <v>65.559373432574603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3.3992364478763198E-14</v>
      </c>
      <c r="DQ181" s="13">
        <f t="shared" si="176"/>
        <v>5.790027782444094E-13</v>
      </c>
      <c r="DR181" s="20">
        <f t="shared" si="177"/>
        <v>1.0676332069095257E-12</v>
      </c>
      <c r="DS181" s="59">
        <f t="shared" si="125"/>
        <v>293.33333333333439</v>
      </c>
      <c r="DT181" s="59">
        <f ca="1">AVERAGE(OFFSET($DS$3,0,0,'Données projet'!$E$14+1,1))-AVERAGE(OFFSET($H$3,0,0,'Données projet'!$E$14+1,1))</f>
        <v>165.39579887388538</v>
      </c>
      <c r="DU181" s="59">
        <f t="shared" si="152"/>
        <v>155.89639262545802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0.12038849430555826</v>
      </c>
      <c r="EC181" s="21">
        <f>EXP(-LN(2)/2)*EC180+(1-EXP(-LN(2)/2))/(LN(2)/2)*DW181*DZ181*VLOOKUP('Données projet'!$B$14,Paramètres!$A$1:$I$89,3,0)*0.475*44/12</f>
        <v>7.3480297355820933E-22</v>
      </c>
      <c r="ED181" s="22">
        <f t="shared" si="178"/>
        <v>0.12038849430555826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-1.1368683772161603E-12</v>
      </c>
      <c r="EK181" s="17">
        <f>EJ181*VLOOKUP('Données projet'!$B$15,Paramètres!$A$1:$I$89,3,0)*VLOOKUP('Données projet'!$B$15,Paramètres!$A$1:$I$89,5,0)</f>
        <v>-5.4683368944097316E-13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252.30925789500111</v>
      </c>
      <c r="EP181" s="59">
        <f t="shared" si="154"/>
        <v>213.96033794804805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0.24710595677780628</v>
      </c>
      <c r="EW181" s="21">
        <f>EXP(-LN(2)/25)*EW180+(1-EXP(-LN(2)/25))/(LN(2)/25)*Calculateur!ER181*Calculateur!ET181*VLOOKUP('Données projet'!$B$15,Paramètres!$A$1:$I$89,3,0)*0.475*44/12</f>
        <v>0.15241549353297568</v>
      </c>
      <c r="EX181" s="21">
        <f>EXP(-LN(2)/2)*EX180+(1-EXP(-LN(2)/2))/(LN(2)/2)*ER181*EU181*VLOOKUP('Données projet'!$B$15,Paramètres!$A$1:$I$89,3,0)*0.475*44/12</f>
        <v>7.611405562795962E-22</v>
      </c>
      <c r="EY181" s="22">
        <f t="shared" si="181"/>
        <v>0.39952145031078196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-1.1368683772161603E-12</v>
      </c>
      <c r="FF181" s="17">
        <f>FE181*VLOOKUP('Données projet'!$B$16,Paramètres!$A$1:$I$89,3,0)*VLOOKUP('Données projet'!$B$16,Paramètres!$A$1:$I$89,5,0)</f>
        <v>-5.4683368944097316E-13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252.30925789500111</v>
      </c>
      <c r="FK181" s="59">
        <f t="shared" si="156"/>
        <v>213.96033794804805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0.24710595677780628</v>
      </c>
      <c r="FR181" s="21">
        <f>EXP(-LN(2)/25)*FR180+(1-EXP(-LN(2)/25))/(LN(2)/25)*Calculateur!FM181*Calculateur!FO181*VLOOKUP('Données projet'!$B$16,Paramètres!$A$1:$I$89,3,0)*0.475*44/12</f>
        <v>0.15241549353297568</v>
      </c>
      <c r="FS181" s="21">
        <f>EXP(-LN(2)/2)*FS180+(1-EXP(-LN(2)/2))/(LN(2)/2)*FM181*FP181*VLOOKUP('Données projet'!$B$16,Paramètres!$A$1:$I$89,3,0)*0.475*44/12</f>
        <v>7.611405562795962E-22</v>
      </c>
      <c r="FT181" s="22">
        <f t="shared" si="184"/>
        <v>0.39952145031078196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117.54638373164624</v>
      </c>
      <c r="GF181" s="59">
        <f t="shared" si="158"/>
        <v>133.0740262536583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0.11800948688392099</v>
      </c>
      <c r="GM181" s="21">
        <f>EXP(-LN(2)/25)*GM180+(1-EXP(-LN(2)/25))/(LN(2)/25)*Calculateur!GH181*Calculateur!GJ181*VLOOKUP('Données projet'!$B$17,Paramètres!$A$1:$I$89,3,0)*0.475*44/12</f>
        <v>0.14295490529902016</v>
      </c>
      <c r="GN181" s="21">
        <f>EXP(-LN(2)/2)*GN180+(1-EXP(-LN(2)/2))/(LN(2)/2)*GH181*GK181*VLOOKUP('Données projet'!$B$17,Paramètres!$A$1:$I$89,3,0)*0.475*44/12</f>
        <v>2.1416818375660001E-22</v>
      </c>
      <c r="GO181" s="21">
        <f t="shared" si="187"/>
        <v>0.26096439218294115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2.8421709430404007E-14</v>
      </c>
      <c r="GV181" s="17">
        <f>GU181*VLOOKUP('Données projet'!$B$18,Paramètres!$A$1:$I$89,3,0)*VLOOKUP('Données projet'!$B$18,Paramètres!$A$1:$I$89,5,0)</f>
        <v>1.3567387213697657E-14</v>
      </c>
      <c r="GW181" s="13">
        <f t="shared" si="188"/>
        <v>2.5717320947985821E-13</v>
      </c>
      <c r="GX181" s="20">
        <f t="shared" si="189"/>
        <v>4.7153987257460977E-13</v>
      </c>
      <c r="GY181" s="59">
        <f t="shared" si="137"/>
        <v>293.33333333333377</v>
      </c>
      <c r="GZ181" s="59">
        <f ca="1">AVERAGE(OFFSET($GY$3,0,0,'Données projet'!$E$18+1,1))-AVERAGE(OFFSET($H$3,0,0,'Données projet'!$E$18+1,1))</f>
        <v>43.147469606759159</v>
      </c>
      <c r="HA181" s="59">
        <f t="shared" si="160"/>
        <v>147.46995307968473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1.9236390363310811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2.9179197508049696E-23</v>
      </c>
      <c r="HJ181" s="22">
        <f t="shared" si="190"/>
        <v>1.9236390363310811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2.8421709430404007E-14</v>
      </c>
      <c r="O182" s="13">
        <f>N182*VLOOKUP('Données projet'!$B$9,Paramètres!$A$1:$I$89,3,0)*VLOOKUP('Données projet'!$B$9,Paramètres!$A$1:$I$89,5,0)</f>
        <v>2.5715962692629544E-14</v>
      </c>
      <c r="P182" s="13">
        <f t="shared" si="141"/>
        <v>4.5248818890525812E-13</v>
      </c>
      <c r="Q182" s="20">
        <f t="shared" si="162"/>
        <v>8.3287223069965432E-13</v>
      </c>
      <c r="R182" s="59">
        <f t="shared" si="109"/>
        <v>293.33333333333417</v>
      </c>
      <c r="S182" s="59">
        <f ca="1">AVERAGE(OFFSET($R$3,0,0,'Données projet'!$E$9+1,1))-AVERAGE(OFFSET($H$3,0,0,'Données projet'!$E$9+1,1))</f>
        <v>138.8931001150624</v>
      </c>
      <c r="T182" s="59">
        <f t="shared" si="142"/>
        <v>48.964659354096625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-7.4487616075202836E-14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191.94797389630673</v>
      </c>
      <c r="AO182" s="59">
        <f t="shared" si="144"/>
        <v>273.52540822767878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0.225673411434136</v>
      </c>
      <c r="AW182" s="21">
        <f>EXP(-LN(2)/2)*AW181+(1-EXP(-LN(2)/2))/(LN(2)/2)*AQ182*AT182*VLOOKUP('Données projet'!$B$10,Paramètres!$A$1:$I$89,3,0)*0.475*44/12</f>
        <v>8.6858163138718651E-22</v>
      </c>
      <c r="AX182" s="21">
        <f t="shared" si="166"/>
        <v>0.36031901734417005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3.5470293369144201E-14</v>
      </c>
      <c r="BF182" s="13">
        <f t="shared" si="167"/>
        <v>6.0119115841663204E-13</v>
      </c>
      <c r="BG182" s="20">
        <f t="shared" si="168"/>
        <v>1.1088520285268936E-12</v>
      </c>
      <c r="BH182" s="59">
        <f t="shared" si="116"/>
        <v>293.33333333333445</v>
      </c>
      <c r="BI182" s="59">
        <f ca="1">AVERAGE(OFFSET($BH$3,0,0,'Données projet'!$E$11+1,1))-AVERAGE(OFFSET($H$3,0,0,'Données projet'!$E$11+1,1))</f>
        <v>162.91481796710048</v>
      </c>
      <c r="BJ182" s="59">
        <f t="shared" si="146"/>
        <v>182.56192390367823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0.14545361778728355</v>
      </c>
      <c r="BQ182" s="21">
        <f>EXP(-LN(2)/25)*BQ181+(1-EXP(-LN(2)/25))/(LN(2)/25)*Calculateur!BL182*Calculateur!BN182*VLOOKUP('Données projet'!$B$11,Paramètres!$A$1:$I$89,3,0)*0.475*44/12</f>
        <v>0.24543965048603361</v>
      </c>
      <c r="BR182" s="21">
        <f>EXP(-LN(2)/2)*BR181+(1-EXP(-LN(2)/2))/(LN(2)/2)*BL182*BO182*VLOOKUP('Données projet'!$B$11,Paramètres!$A$1:$I$89,3,0)*0.475*44/12</f>
        <v>6.7267691238203935E-22</v>
      </c>
      <c r="BS182" s="22">
        <f t="shared" si="169"/>
        <v>0.39089326827331716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-5.3205440053716299E-14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123.60520571614535</v>
      </c>
      <c r="CE182" s="59">
        <f t="shared" si="148"/>
        <v>119.00926870519527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4.5356853582329291E-2</v>
      </c>
      <c r="CL182" s="21">
        <f>EXP(-LN(2)/25)*CL181+(1-EXP(-LN(2)/25))/(LN(2)/25)*Calculateur!CG182*Calculateur!CI182*VLOOKUP('Données projet'!$B$12,Paramètres!$A$1:$I$89,3,0)*0.475*44/12</f>
        <v>7.6735174302206846E-2</v>
      </c>
      <c r="CM182" s="21">
        <f>EXP(-LN(2)/2)*CM181+(1-EXP(-LN(2)/2))/(LN(2)/2)*CG182*CJ182*VLOOKUP('Données projet'!$B$12,Paramètres!$A$1:$I$89,3,0)*0.475*44/12</f>
        <v>2.2886015740930041E-22</v>
      </c>
      <c r="CN182" s="22">
        <f t="shared" si="172"/>
        <v>0.12209202788453613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2.9706370696658272E-14</v>
      </c>
      <c r="CV182" s="13">
        <f t="shared" si="173"/>
        <v>5.1399863782592153E-13</v>
      </c>
      <c r="CW182" s="20">
        <f t="shared" si="174"/>
        <v>9.4695288984349312E-13</v>
      </c>
      <c r="CX182" s="59">
        <f t="shared" si="122"/>
        <v>293.33333333333428</v>
      </c>
      <c r="CY182" s="59">
        <f ca="1">AVERAGE(OFFSET($CX$3,0,0,'Données projet'!$E$13+1,1))-AVERAGE(OFFSET($H$3,0,0,'Données projet'!$E$13+1,1))</f>
        <v>177.94336949486529</v>
      </c>
      <c r="CZ182" s="59">
        <f t="shared" si="150"/>
        <v>65.559373432574603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3.3992364478763198E-14</v>
      </c>
      <c r="DQ182" s="13">
        <f t="shared" si="176"/>
        <v>5.790027782444094E-13</v>
      </c>
      <c r="DR182" s="20">
        <f t="shared" si="177"/>
        <v>1.0676332069095257E-12</v>
      </c>
      <c r="DS182" s="59">
        <f t="shared" si="125"/>
        <v>293.33333333333439</v>
      </c>
      <c r="DT182" s="59">
        <f ca="1">AVERAGE(OFFSET($DS$3,0,0,'Données projet'!$E$14+1,1))-AVERAGE(OFFSET($H$3,0,0,'Données projet'!$E$14+1,1))</f>
        <v>165.39579887388538</v>
      </c>
      <c r="DU182" s="59">
        <f t="shared" si="152"/>
        <v>155.89639262545802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0.117096464597817</v>
      </c>
      <c r="EC182" s="21">
        <f>EXP(-LN(2)/2)*EC181+(1-EXP(-LN(2)/2))/(LN(2)/2)*DW182*DZ182*VLOOKUP('Données projet'!$B$14,Paramètres!$A$1:$I$89,3,0)*0.475*44/12</f>
        <v>5.1958416543904918E-22</v>
      </c>
      <c r="ED182" s="22">
        <f t="shared" si="178"/>
        <v>0.117096464597817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-1.1368683772161603E-12</v>
      </c>
      <c r="EK182" s="17">
        <f>EJ182*VLOOKUP('Données projet'!$B$15,Paramètres!$A$1:$I$89,3,0)*VLOOKUP('Données projet'!$B$15,Paramètres!$A$1:$I$89,5,0)</f>
        <v>-5.4683368944097316E-13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252.30925789500111</v>
      </c>
      <c r="EP182" s="59">
        <f t="shared" si="154"/>
        <v>213.96033794804805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0.24226035968514478</v>
      </c>
      <c r="EW182" s="21">
        <f>EXP(-LN(2)/25)*EW181+(1-EXP(-LN(2)/25))/(LN(2)/25)*Calculateur!ER182*Calculateur!ET182*VLOOKUP('Données projet'!$B$15,Paramètres!$A$1:$I$89,3,0)*0.475*44/12</f>
        <v>0.14824768384713399</v>
      </c>
      <c r="EX182" s="21">
        <f>EXP(-LN(2)/2)*EX181+(1-EXP(-LN(2)/2))/(LN(2)/2)*ER182*EU182*VLOOKUP('Données projet'!$B$15,Paramètres!$A$1:$I$89,3,0)*0.475*44/12</f>
        <v>5.3820764878140349E-22</v>
      </c>
      <c r="EY182" s="22">
        <f t="shared" si="181"/>
        <v>0.39050804353227875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-1.1368683772161603E-12</v>
      </c>
      <c r="FF182" s="17">
        <f>FE182*VLOOKUP('Données projet'!$B$16,Paramètres!$A$1:$I$89,3,0)*VLOOKUP('Données projet'!$B$16,Paramètres!$A$1:$I$89,5,0)</f>
        <v>-5.4683368944097316E-13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252.30925789500111</v>
      </c>
      <c r="FK182" s="59">
        <f t="shared" si="156"/>
        <v>213.96033794804805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0.24226035968514478</v>
      </c>
      <c r="FR182" s="21">
        <f>EXP(-LN(2)/25)*FR181+(1-EXP(-LN(2)/25))/(LN(2)/25)*Calculateur!FM182*Calculateur!FO182*VLOOKUP('Données projet'!$B$16,Paramètres!$A$1:$I$89,3,0)*0.475*44/12</f>
        <v>0.14824768384713399</v>
      </c>
      <c r="FS182" s="21">
        <f>EXP(-LN(2)/2)*FS181+(1-EXP(-LN(2)/2))/(LN(2)/2)*FM182*FP182*VLOOKUP('Données projet'!$B$16,Paramètres!$A$1:$I$89,3,0)*0.475*44/12</f>
        <v>5.3820764878140349E-22</v>
      </c>
      <c r="FT182" s="22">
        <f t="shared" si="184"/>
        <v>0.39050804353227875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117.54638373164624</v>
      </c>
      <c r="GF182" s="59">
        <f t="shared" si="158"/>
        <v>133.0740262536583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0.11569539282480699</v>
      </c>
      <c r="GM182" s="21">
        <f>EXP(-LN(2)/25)*GM181+(1-EXP(-LN(2)/25))/(LN(2)/25)*Calculateur!GH182*Calculateur!GJ182*VLOOKUP('Données projet'!$B$17,Paramètres!$A$1:$I$89,3,0)*0.475*44/12</f>
        <v>0.13904579589594671</v>
      </c>
      <c r="GN182" s="21">
        <f>EXP(-LN(2)/2)*GN181+(1-EXP(-LN(2)/2))/(LN(2)/2)*GH182*GK182*VLOOKUP('Données projet'!$B$17,Paramètres!$A$1:$I$89,3,0)*0.475*44/12</f>
        <v>1.5143977504869846E-22</v>
      </c>
      <c r="GO182" s="21">
        <f t="shared" si="187"/>
        <v>0.25474118872075369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2.8421709430404007E-14</v>
      </c>
      <c r="GV182" s="17">
        <f>GU182*VLOOKUP('Données projet'!$B$18,Paramètres!$A$1:$I$89,3,0)*VLOOKUP('Données projet'!$B$18,Paramètres!$A$1:$I$89,5,0)</f>
        <v>1.3567387213697657E-14</v>
      </c>
      <c r="GW182" s="13">
        <f t="shared" si="188"/>
        <v>2.5717320947985821E-13</v>
      </c>
      <c r="GX182" s="20">
        <f t="shared" si="189"/>
        <v>4.7153987257460977E-13</v>
      </c>
      <c r="GY182" s="59">
        <f t="shared" si="137"/>
        <v>293.33333333333377</v>
      </c>
      <c r="GZ182" s="59">
        <f ca="1">AVERAGE(OFFSET($GY$3,0,0,'Données projet'!$E$18+1,1))-AVERAGE(OFFSET($H$3,0,0,'Données projet'!$E$18+1,1))</f>
        <v>43.147469606759159</v>
      </c>
      <c r="HA182" s="59">
        <f t="shared" si="160"/>
        <v>147.46995307968473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1.8859176481325866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2.063280842752355E-23</v>
      </c>
      <c r="HJ182" s="22">
        <f t="shared" si="190"/>
        <v>1.8859176481325866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2.8421709430404007E-14</v>
      </c>
      <c r="O183" s="13">
        <f>N183*VLOOKUP('Données projet'!$B$9,Paramètres!$A$1:$I$89,3,0)*VLOOKUP('Données projet'!$B$9,Paramètres!$A$1:$I$89,5,0)</f>
        <v>2.5715962692629544E-14</v>
      </c>
      <c r="P183" s="13">
        <f t="shared" si="141"/>
        <v>4.5248818890525812E-13</v>
      </c>
      <c r="Q183" s="20">
        <f t="shared" si="162"/>
        <v>8.3287223069965432E-13</v>
      </c>
      <c r="R183" s="59">
        <f t="shared" si="109"/>
        <v>293.33333333333417</v>
      </c>
      <c r="S183" s="59">
        <f ca="1">AVERAGE(OFFSET($R$3,0,0,'Données projet'!$E$9+1,1))-AVERAGE(OFFSET($H$3,0,0,'Données projet'!$E$9+1,1))</f>
        <v>138.8931001150624</v>
      </c>
      <c r="T183" s="59">
        <f t="shared" si="142"/>
        <v>48.964659354096625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-7.4487616075202836E-14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191.94797389630673</v>
      </c>
      <c r="AO183" s="59">
        <f t="shared" si="144"/>
        <v>273.52540822767878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0.21950236013082061</v>
      </c>
      <c r="AW183" s="21">
        <f>EXP(-LN(2)/2)*AW182+(1-EXP(-LN(2)/2))/(LN(2)/2)*AQ183*AT183*VLOOKUP('Données projet'!$B$10,Paramètres!$A$1:$I$89,3,0)*0.475*44/12</f>
        <v>6.1417996156795379E-22</v>
      </c>
      <c r="AX183" s="21">
        <f t="shared" si="166"/>
        <v>0.35150764783466926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3.5470293369144201E-14</v>
      </c>
      <c r="BF183" s="13">
        <f t="shared" si="167"/>
        <v>6.0119115841663204E-13</v>
      </c>
      <c r="BG183" s="20">
        <f t="shared" si="168"/>
        <v>1.1088520285268936E-12</v>
      </c>
      <c r="BH183" s="59">
        <f t="shared" si="116"/>
        <v>293.33333333333445</v>
      </c>
      <c r="BI183" s="59">
        <f ca="1">AVERAGE(OFFSET($BH$3,0,0,'Données projet'!$E$11+1,1))-AVERAGE(OFFSET($H$3,0,0,'Données projet'!$E$11+1,1))</f>
        <v>162.91481796710048</v>
      </c>
      <c r="BJ183" s="59">
        <f t="shared" si="146"/>
        <v>182.56192390367823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0.14260136106042159</v>
      </c>
      <c r="BQ183" s="21">
        <f>EXP(-LN(2)/25)*BQ182+(1-EXP(-LN(2)/25))/(LN(2)/25)*Calculateur!BL183*Calculateur!BN183*VLOOKUP('Données projet'!$B$11,Paramètres!$A$1:$I$89,3,0)*0.475*44/12</f>
        <v>0.23872809033638276</v>
      </c>
      <c r="BR183" s="21">
        <f>EXP(-LN(2)/2)*BR182+(1-EXP(-LN(2)/2))/(LN(2)/2)*BL183*BO183*VLOOKUP('Données projet'!$B$11,Paramètres!$A$1:$I$89,3,0)*0.475*44/12</f>
        <v>4.7565440629296909E-22</v>
      </c>
      <c r="BS183" s="22">
        <f t="shared" si="169"/>
        <v>0.38132945139680435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-5.3205440053716299E-14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123.60520571614535</v>
      </c>
      <c r="CE183" s="59">
        <f t="shared" si="148"/>
        <v>119.00926870519527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4.4467433348528811E-2</v>
      </c>
      <c r="CL183" s="21">
        <f>EXP(-LN(2)/25)*CL182+(1-EXP(-LN(2)/25))/(LN(2)/25)*Calculateur!CG183*Calculateur!CI183*VLOOKUP('Données projet'!$B$12,Paramètres!$A$1:$I$89,3,0)*0.475*44/12</f>
        <v>7.4636846925585559E-2</v>
      </c>
      <c r="CM183" s="21">
        <f>EXP(-LN(2)/2)*CM182+(1-EXP(-LN(2)/2))/(LN(2)/2)*CG183*CJ183*VLOOKUP('Données projet'!$B$12,Paramètres!$A$1:$I$89,3,0)*0.475*44/12</f>
        <v>1.6182856924753701E-22</v>
      </c>
      <c r="CN183" s="22">
        <f t="shared" si="172"/>
        <v>0.11910428027411438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2.9706370696658272E-14</v>
      </c>
      <c r="CV183" s="13">
        <f t="shared" si="173"/>
        <v>5.1399863782592153E-13</v>
      </c>
      <c r="CW183" s="20">
        <f t="shared" si="174"/>
        <v>9.4695288984349312E-13</v>
      </c>
      <c r="CX183" s="59">
        <f t="shared" si="122"/>
        <v>293.33333333333428</v>
      </c>
      <c r="CY183" s="59">
        <f ca="1">AVERAGE(OFFSET($CX$3,0,0,'Données projet'!$E$13+1,1))-AVERAGE(OFFSET($H$3,0,0,'Données projet'!$E$13+1,1))</f>
        <v>177.94336949486529</v>
      </c>
      <c r="CZ183" s="59">
        <f t="shared" si="150"/>
        <v>65.559373432574603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3.3992364478763198E-14</v>
      </c>
      <c r="DQ183" s="13">
        <f t="shared" si="176"/>
        <v>5.790027782444094E-13</v>
      </c>
      <c r="DR183" s="20">
        <f t="shared" si="177"/>
        <v>1.0676332069095257E-12</v>
      </c>
      <c r="DS183" s="59">
        <f t="shared" si="125"/>
        <v>293.33333333333439</v>
      </c>
      <c r="DT183" s="59">
        <f ca="1">AVERAGE(OFFSET($DS$3,0,0,'Données projet'!$E$14+1,1))-AVERAGE(OFFSET($H$3,0,0,'Données projet'!$E$14+1,1))</f>
        <v>165.39579887388538</v>
      </c>
      <c r="DU183" s="59">
        <f t="shared" si="152"/>
        <v>155.89639262545802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0.11389445561555425</v>
      </c>
      <c r="EC183" s="21">
        <f>EXP(-LN(2)/2)*EC182+(1-EXP(-LN(2)/2))/(LN(2)/2)*DW183*DZ183*VLOOKUP('Données projet'!$B$14,Paramètres!$A$1:$I$89,3,0)*0.475*44/12</f>
        <v>3.6740148677910467E-22</v>
      </c>
      <c r="ED183" s="22">
        <f t="shared" si="178"/>
        <v>0.11389445561555425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-1.1368683772161603E-12</v>
      </c>
      <c r="EK183" s="17">
        <f>EJ183*VLOOKUP('Données projet'!$B$15,Paramètres!$A$1:$I$89,3,0)*VLOOKUP('Données projet'!$B$15,Paramètres!$A$1:$I$89,5,0)</f>
        <v>-5.4683368944097316E-13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252.30925789500111</v>
      </c>
      <c r="EP183" s="59">
        <f t="shared" si="154"/>
        <v>213.96033794804805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0.23750978179594801</v>
      </c>
      <c r="EW183" s="21">
        <f>EXP(-LN(2)/25)*EW182+(1-EXP(-LN(2)/25))/(LN(2)/25)*Calculateur!ER183*Calculateur!ET183*VLOOKUP('Données projet'!$B$15,Paramètres!$A$1:$I$89,3,0)*0.475*44/12</f>
        <v>0.14419384313632724</v>
      </c>
      <c r="EX183" s="21">
        <f>EXP(-LN(2)/2)*EX182+(1-EXP(-LN(2)/2))/(LN(2)/2)*ER183*EU183*VLOOKUP('Données projet'!$B$15,Paramètres!$A$1:$I$89,3,0)*0.475*44/12</f>
        <v>3.805702781397981E-22</v>
      </c>
      <c r="EY183" s="22">
        <f t="shared" si="181"/>
        <v>0.38170362493227528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-1.1368683772161603E-12</v>
      </c>
      <c r="FF183" s="17">
        <f>FE183*VLOOKUP('Données projet'!$B$16,Paramètres!$A$1:$I$89,3,0)*VLOOKUP('Données projet'!$B$16,Paramètres!$A$1:$I$89,5,0)</f>
        <v>-5.4683368944097316E-13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252.30925789500111</v>
      </c>
      <c r="FK183" s="59">
        <f t="shared" si="156"/>
        <v>213.96033794804805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0.23750978179594801</v>
      </c>
      <c r="FR183" s="21">
        <f>EXP(-LN(2)/25)*FR182+(1-EXP(-LN(2)/25))/(LN(2)/25)*Calculateur!FM183*Calculateur!FO183*VLOOKUP('Données projet'!$B$16,Paramètres!$A$1:$I$89,3,0)*0.475*44/12</f>
        <v>0.14419384313632724</v>
      </c>
      <c r="FS183" s="21">
        <f>EXP(-LN(2)/2)*FS182+(1-EXP(-LN(2)/2))/(LN(2)/2)*FM183*FP183*VLOOKUP('Données projet'!$B$16,Paramètres!$A$1:$I$89,3,0)*0.475*44/12</f>
        <v>3.805702781397981E-22</v>
      </c>
      <c r="FT183" s="22">
        <f t="shared" si="184"/>
        <v>0.38170362493227528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117.54638373164624</v>
      </c>
      <c r="GF183" s="59">
        <f t="shared" si="158"/>
        <v>133.0740262536583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0.11342667673873422</v>
      </c>
      <c r="GM183" s="21">
        <f>EXP(-LN(2)/25)*GM182+(1-EXP(-LN(2)/25))/(LN(2)/25)*Calculateur!GH183*Calculateur!GJ183*VLOOKUP('Données projet'!$B$17,Paramètres!$A$1:$I$89,3,0)*0.475*44/12</f>
        <v>0.13524358129507144</v>
      </c>
      <c r="GN183" s="21">
        <f>EXP(-LN(2)/2)*GN182+(1-EXP(-LN(2)/2))/(LN(2)/2)*GH183*GK183*VLOOKUP('Données projet'!$B$17,Paramètres!$A$1:$I$89,3,0)*0.475*44/12</f>
        <v>1.070840918783E-22</v>
      </c>
      <c r="GO183" s="21">
        <f t="shared" si="187"/>
        <v>0.24867025803380566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2.8421709430404007E-14</v>
      </c>
      <c r="GV183" s="17">
        <f>GU183*VLOOKUP('Données projet'!$B$18,Paramètres!$A$1:$I$89,3,0)*VLOOKUP('Données projet'!$B$18,Paramètres!$A$1:$I$89,5,0)</f>
        <v>1.3567387213697657E-14</v>
      </c>
      <c r="GW183" s="13">
        <f t="shared" si="188"/>
        <v>2.5717320947985821E-13</v>
      </c>
      <c r="GX183" s="20">
        <f t="shared" si="189"/>
        <v>4.7153987257460977E-13</v>
      </c>
      <c r="GY183" s="59">
        <f t="shared" si="137"/>
        <v>293.33333333333377</v>
      </c>
      <c r="GZ183" s="59">
        <f ca="1">AVERAGE(OFFSET($GY$3,0,0,'Données projet'!$E$18+1,1))-AVERAGE(OFFSET($H$3,0,0,'Données projet'!$E$18+1,1))</f>
        <v>43.147469606759159</v>
      </c>
      <c r="HA183" s="59">
        <f t="shared" si="160"/>
        <v>147.46995307968473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1.8489359533488896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1.4589598754024848E-23</v>
      </c>
      <c r="HJ183" s="22">
        <f t="shared" si="190"/>
        <v>1.8489359533488896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2.8421709430404007E-14</v>
      </c>
      <c r="O184" s="13">
        <f>N184*VLOOKUP('Données projet'!$B$9,Paramètres!$A$1:$I$89,3,0)*VLOOKUP('Données projet'!$B$9,Paramètres!$A$1:$I$89,5,0)</f>
        <v>2.5715962692629544E-14</v>
      </c>
      <c r="P184" s="13">
        <f t="shared" si="141"/>
        <v>4.5248818890525812E-13</v>
      </c>
      <c r="Q184" s="20">
        <f t="shared" si="162"/>
        <v>8.3287223069965432E-13</v>
      </c>
      <c r="R184" s="59">
        <f t="shared" si="109"/>
        <v>293.33333333333417</v>
      </c>
      <c r="S184" s="59">
        <f ca="1">AVERAGE(OFFSET($R$3,0,0,'Données projet'!$E$9+1,1))-AVERAGE(OFFSET($H$3,0,0,'Données projet'!$E$9+1,1))</f>
        <v>138.8931001150624</v>
      </c>
      <c r="T184" s="59">
        <f t="shared" si="142"/>
        <v>48.964659354096625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-7.4487616075202836E-14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191.94797389630673</v>
      </c>
      <c r="AO184" s="59">
        <f t="shared" si="144"/>
        <v>273.52540822767878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0.21350005654991588</v>
      </c>
      <c r="AW184" s="21">
        <f>EXP(-LN(2)/2)*AW183+(1-EXP(-LN(2)/2))/(LN(2)/2)*AQ184*AT184*VLOOKUP('Données projet'!$B$10,Paramètres!$A$1:$I$89,3,0)*0.475*44/12</f>
        <v>4.3429081569359325E-22</v>
      </c>
      <c r="AX184" s="21">
        <f t="shared" si="166"/>
        <v>0.34291680107716732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3.5470293369144201E-14</v>
      </c>
      <c r="BF184" s="13">
        <f t="shared" si="167"/>
        <v>6.0119115841663204E-13</v>
      </c>
      <c r="BG184" s="20">
        <f t="shared" si="168"/>
        <v>1.1088520285268936E-12</v>
      </c>
      <c r="BH184" s="59">
        <f t="shared" si="116"/>
        <v>293.33333333333445</v>
      </c>
      <c r="BI184" s="59">
        <f ca="1">AVERAGE(OFFSET($BH$3,0,0,'Données projet'!$E$11+1,1))-AVERAGE(OFFSET($H$3,0,0,'Données projet'!$E$11+1,1))</f>
        <v>162.91481796710048</v>
      </c>
      <c r="BJ184" s="59">
        <f t="shared" si="146"/>
        <v>182.56192390367823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0.13980503534826857</v>
      </c>
      <c r="BQ184" s="21">
        <f>EXP(-LN(2)/25)*BQ183+(1-EXP(-LN(2)/25))/(LN(2)/25)*Calculateur!BL184*Calculateur!BN184*VLOOKUP('Données projet'!$B$11,Paramètres!$A$1:$I$89,3,0)*0.475*44/12</f>
        <v>0.23220005815196973</v>
      </c>
      <c r="BR184" s="21">
        <f>EXP(-LN(2)/2)*BR183+(1-EXP(-LN(2)/2))/(LN(2)/2)*BL184*BO184*VLOOKUP('Données projet'!$B$11,Paramètres!$A$1:$I$89,3,0)*0.475*44/12</f>
        <v>3.3633845619101967E-22</v>
      </c>
      <c r="BS184" s="22">
        <f t="shared" si="169"/>
        <v>0.3720050935002383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-5.3205440053716299E-14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123.60520571614535</v>
      </c>
      <c r="CE184" s="59">
        <f t="shared" si="148"/>
        <v>119.00926870519527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4.3595454103020383E-2</v>
      </c>
      <c r="CL184" s="21">
        <f>EXP(-LN(2)/25)*CL183+(1-EXP(-LN(2)/25))/(LN(2)/25)*Calculateur!CG184*Calculateur!CI184*VLOOKUP('Données projet'!$B$12,Paramètres!$A$1:$I$89,3,0)*0.475*44/12</f>
        <v>7.2595898421424221E-2</v>
      </c>
      <c r="CM184" s="21">
        <f>EXP(-LN(2)/2)*CM183+(1-EXP(-LN(2)/2))/(LN(2)/2)*CG184*CJ184*VLOOKUP('Données projet'!$B$12,Paramètres!$A$1:$I$89,3,0)*0.475*44/12</f>
        <v>1.1443007870465021E-22</v>
      </c>
      <c r="CN184" s="22">
        <f t="shared" si="172"/>
        <v>0.1161913525244446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2.9706370696658272E-14</v>
      </c>
      <c r="CV184" s="13">
        <f t="shared" si="173"/>
        <v>5.1399863782592153E-13</v>
      </c>
      <c r="CW184" s="20">
        <f t="shared" si="174"/>
        <v>9.4695288984349312E-13</v>
      </c>
      <c r="CX184" s="59">
        <f t="shared" si="122"/>
        <v>293.33333333333428</v>
      </c>
      <c r="CY184" s="59">
        <f ca="1">AVERAGE(OFFSET($CX$3,0,0,'Données projet'!$E$13+1,1))-AVERAGE(OFFSET($H$3,0,0,'Données projet'!$E$13+1,1))</f>
        <v>177.94336949486529</v>
      </c>
      <c r="CZ184" s="59">
        <f t="shared" si="150"/>
        <v>65.559373432574603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3.3992364478763198E-14</v>
      </c>
      <c r="DQ184" s="13">
        <f t="shared" si="176"/>
        <v>5.790027782444094E-13</v>
      </c>
      <c r="DR184" s="20">
        <f t="shared" si="177"/>
        <v>1.0676332069095257E-12</v>
      </c>
      <c r="DS184" s="59">
        <f t="shared" si="125"/>
        <v>293.33333333333439</v>
      </c>
      <c r="DT184" s="59">
        <f ca="1">AVERAGE(OFFSET($DS$3,0,0,'Données projet'!$E$14+1,1))-AVERAGE(OFFSET($H$3,0,0,'Données projet'!$E$14+1,1))</f>
        <v>165.39579887388538</v>
      </c>
      <c r="DU184" s="59">
        <f t="shared" si="152"/>
        <v>155.89639262545802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0.11078000573729781</v>
      </c>
      <c r="EC184" s="21">
        <f>EXP(-LN(2)/2)*EC183+(1-EXP(-LN(2)/2))/(LN(2)/2)*DW184*DZ184*VLOOKUP('Données projet'!$B$14,Paramètres!$A$1:$I$89,3,0)*0.475*44/12</f>
        <v>2.5979208271952459E-22</v>
      </c>
      <c r="ED184" s="22">
        <f t="shared" si="178"/>
        <v>0.11078000573729781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-1.1368683772161603E-12</v>
      </c>
      <c r="EK184" s="17">
        <f>EJ184*VLOOKUP('Données projet'!$B$15,Paramètres!$A$1:$I$89,3,0)*VLOOKUP('Données projet'!$B$15,Paramètres!$A$1:$I$89,5,0)</f>
        <v>-5.4683368944097316E-13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252.30925789500111</v>
      </c>
      <c r="EP184" s="59">
        <f t="shared" si="154"/>
        <v>213.96033794804805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0.23285235984159197</v>
      </c>
      <c r="EW184" s="21">
        <f>EXP(-LN(2)/25)*EW183+(1-EXP(-LN(2)/25))/(LN(2)/25)*Calculateur!ER184*Calculateur!ET184*VLOOKUP('Données projet'!$B$15,Paramètres!$A$1:$I$89,3,0)*0.475*44/12</f>
        <v>0.14025085491293973</v>
      </c>
      <c r="EX184" s="21">
        <f>EXP(-LN(2)/2)*EX183+(1-EXP(-LN(2)/2))/(LN(2)/2)*ER184*EU184*VLOOKUP('Données projet'!$B$15,Paramètres!$A$1:$I$89,3,0)*0.475*44/12</f>
        <v>2.6910382439070174E-22</v>
      </c>
      <c r="EY184" s="22">
        <f t="shared" si="181"/>
        <v>0.37310321475453168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-1.1368683772161603E-12</v>
      </c>
      <c r="FF184" s="17">
        <f>FE184*VLOOKUP('Données projet'!$B$16,Paramètres!$A$1:$I$89,3,0)*VLOOKUP('Données projet'!$B$16,Paramètres!$A$1:$I$89,5,0)</f>
        <v>-5.4683368944097316E-13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252.30925789500111</v>
      </c>
      <c r="FK184" s="59">
        <f t="shared" si="156"/>
        <v>213.96033794804805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0.23285235984159197</v>
      </c>
      <c r="FR184" s="21">
        <f>EXP(-LN(2)/25)*FR183+(1-EXP(-LN(2)/25))/(LN(2)/25)*Calculateur!FM184*Calculateur!FO184*VLOOKUP('Données projet'!$B$16,Paramètres!$A$1:$I$89,3,0)*0.475*44/12</f>
        <v>0.14025085491293973</v>
      </c>
      <c r="FS184" s="21">
        <f>EXP(-LN(2)/2)*FS183+(1-EXP(-LN(2)/2))/(LN(2)/2)*FM184*FP184*VLOOKUP('Données projet'!$B$16,Paramètres!$A$1:$I$89,3,0)*0.475*44/12</f>
        <v>2.6910382439070174E-22</v>
      </c>
      <c r="FT184" s="22">
        <f t="shared" si="184"/>
        <v>0.37310321475453168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117.54638373164624</v>
      </c>
      <c r="GF184" s="59">
        <f t="shared" si="158"/>
        <v>133.0740262536583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0.11120244879132915</v>
      </c>
      <c r="GM184" s="21">
        <f>EXP(-LN(2)/25)*GM183+(1-EXP(-LN(2)/25))/(LN(2)/25)*Calculateur!GH184*Calculateur!GJ184*VLOOKUP('Données projet'!$B$17,Paramètres!$A$1:$I$89,3,0)*0.475*44/12</f>
        <v>0.13154533845240687</v>
      </c>
      <c r="GN184" s="21">
        <f>EXP(-LN(2)/2)*GN183+(1-EXP(-LN(2)/2))/(LN(2)/2)*GH184*GK184*VLOOKUP('Données projet'!$B$17,Paramètres!$A$1:$I$89,3,0)*0.475*44/12</f>
        <v>7.5719887524349232E-23</v>
      </c>
      <c r="GO184" s="21">
        <f t="shared" si="187"/>
        <v>0.24274778724373602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2.8421709430404007E-14</v>
      </c>
      <c r="GV184" s="17">
        <f>GU184*VLOOKUP('Données projet'!$B$18,Paramètres!$A$1:$I$89,3,0)*VLOOKUP('Données projet'!$B$18,Paramètres!$A$1:$I$89,5,0)</f>
        <v>1.3567387213697657E-14</v>
      </c>
      <c r="GW184" s="13">
        <f t="shared" si="188"/>
        <v>2.5717320947985821E-13</v>
      </c>
      <c r="GX184" s="20">
        <f t="shared" si="189"/>
        <v>4.7153987257460977E-13</v>
      </c>
      <c r="GY184" s="59">
        <f t="shared" si="137"/>
        <v>293.33333333333377</v>
      </c>
      <c r="GZ184" s="59">
        <f ca="1">AVERAGE(OFFSET($GY$3,0,0,'Données projet'!$E$18+1,1))-AVERAGE(OFFSET($H$3,0,0,'Données projet'!$E$18+1,1))</f>
        <v>43.147469606759159</v>
      </c>
      <c r="HA184" s="59">
        <f t="shared" si="160"/>
        <v>147.46995307968473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1.8126794470432943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1.0316404213761775E-23</v>
      </c>
      <c r="HJ184" s="22">
        <f t="shared" si="190"/>
        <v>1.8126794470432943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2.8421709430404007E-14</v>
      </c>
      <c r="O185" s="13">
        <f>N185*VLOOKUP('Données projet'!$B$9,Paramètres!$A$1:$I$89,3,0)*VLOOKUP('Données projet'!$B$9,Paramètres!$A$1:$I$89,5,0)</f>
        <v>2.5715962692629544E-14</v>
      </c>
      <c r="P185" s="13">
        <f t="shared" si="141"/>
        <v>4.5248818890525812E-13</v>
      </c>
      <c r="Q185" s="20">
        <f t="shared" si="162"/>
        <v>8.3287223069965432E-13</v>
      </c>
      <c r="R185" s="59">
        <f t="shared" si="109"/>
        <v>293.33333333333417</v>
      </c>
      <c r="S185" s="59">
        <f ca="1">AVERAGE(OFFSET($R$3,0,0,'Données projet'!$E$9+1,1))-AVERAGE(OFFSET($H$3,0,0,'Données projet'!$E$9+1,1))</f>
        <v>138.8931001150624</v>
      </c>
      <c r="T185" s="59">
        <f t="shared" si="142"/>
        <v>48.964659354096625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-7.4487616075202836E-14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191.94797389630673</v>
      </c>
      <c r="AO185" s="59">
        <f t="shared" si="144"/>
        <v>273.52540822767878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0.20766188627607843</v>
      </c>
      <c r="AW185" s="21">
        <f>EXP(-LN(2)/2)*AW184+(1-EXP(-LN(2)/2))/(LN(2)/2)*AQ185*AT185*VLOOKUP('Données projet'!$B$10,Paramètres!$A$1:$I$89,3,0)*0.475*44/12</f>
        <v>3.070899807839769E-22</v>
      </c>
      <c r="AX185" s="21">
        <f t="shared" si="166"/>
        <v>0.33454084737957029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3.5470293369144201E-14</v>
      </c>
      <c r="BF185" s="13">
        <f t="shared" si="167"/>
        <v>6.0119115841663204E-13</v>
      </c>
      <c r="BG185" s="20">
        <f t="shared" si="168"/>
        <v>1.1088520285268936E-12</v>
      </c>
      <c r="BH185" s="59">
        <f t="shared" si="116"/>
        <v>293.33333333333445</v>
      </c>
      <c r="BI185" s="59">
        <f ca="1">AVERAGE(OFFSET($BH$3,0,0,'Données projet'!$E$11+1,1))-AVERAGE(OFFSET($H$3,0,0,'Données projet'!$E$11+1,1))</f>
        <v>162.91481796710048</v>
      </c>
      <c r="BJ185" s="59">
        <f t="shared" si="146"/>
        <v>182.56192390367823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0.13706354387774061</v>
      </c>
      <c r="BQ185" s="21">
        <f>EXP(-LN(2)/25)*BQ184+(1-EXP(-LN(2)/25))/(LN(2)/25)*Calculateur!BL185*Calculateur!BN185*VLOOKUP('Données projet'!$B$11,Paramètres!$A$1:$I$89,3,0)*0.475*44/12</f>
        <v>0.22585053535093375</v>
      </c>
      <c r="BR185" s="21">
        <f>EXP(-LN(2)/2)*BR184+(1-EXP(-LN(2)/2))/(LN(2)/2)*BL185*BO185*VLOOKUP('Données projet'!$B$11,Paramètres!$A$1:$I$89,3,0)*0.475*44/12</f>
        <v>2.3782720314648454E-22</v>
      </c>
      <c r="BS185" s="22">
        <f t="shared" si="169"/>
        <v>0.36291407922867436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-5.3205440053716299E-14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123.60520571614535</v>
      </c>
      <c r="CE185" s="59">
        <f t="shared" si="148"/>
        <v>119.00926870519527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4.2740573838661554E-2</v>
      </c>
      <c r="CL185" s="21">
        <f>EXP(-LN(2)/25)*CL184+(1-EXP(-LN(2)/25))/(LN(2)/25)*Calculateur!CG185*Calculateur!CI185*VLOOKUP('Données projet'!$B$12,Paramètres!$A$1:$I$89,3,0)*0.475*44/12</f>
        <v>7.0610759761437991E-2</v>
      </c>
      <c r="CM185" s="21">
        <f>EXP(-LN(2)/2)*CM184+(1-EXP(-LN(2)/2))/(LN(2)/2)*CG185*CJ185*VLOOKUP('Données projet'!$B$12,Paramètres!$A$1:$I$89,3,0)*0.475*44/12</f>
        <v>8.0914284623768506E-23</v>
      </c>
      <c r="CN185" s="22">
        <f t="shared" si="172"/>
        <v>0.11335133360009955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2.9706370696658272E-14</v>
      </c>
      <c r="CV185" s="13">
        <f t="shared" si="173"/>
        <v>5.1399863782592153E-13</v>
      </c>
      <c r="CW185" s="20">
        <f t="shared" si="174"/>
        <v>9.4695288984349312E-13</v>
      </c>
      <c r="CX185" s="59">
        <f t="shared" si="122"/>
        <v>293.33333333333428</v>
      </c>
      <c r="CY185" s="59">
        <f ca="1">AVERAGE(OFFSET($CX$3,0,0,'Données projet'!$E$13+1,1))-AVERAGE(OFFSET($H$3,0,0,'Données projet'!$E$13+1,1))</f>
        <v>177.94336949486529</v>
      </c>
      <c r="CZ185" s="59">
        <f t="shared" si="150"/>
        <v>65.559373432574603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3.3992364478763198E-14</v>
      </c>
      <c r="DQ185" s="13">
        <f t="shared" si="176"/>
        <v>5.790027782444094E-13</v>
      </c>
      <c r="DR185" s="20">
        <f t="shared" si="177"/>
        <v>1.0676332069095257E-12</v>
      </c>
      <c r="DS185" s="59">
        <f t="shared" si="125"/>
        <v>293.33333333333439</v>
      </c>
      <c r="DT185" s="59">
        <f ca="1">AVERAGE(OFFSET($DS$3,0,0,'Données projet'!$E$14+1,1))-AVERAGE(OFFSET($H$3,0,0,'Données projet'!$E$14+1,1))</f>
        <v>165.39579887388538</v>
      </c>
      <c r="DU185" s="59">
        <f t="shared" si="152"/>
        <v>155.89639262545802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0.10775072065474409</v>
      </c>
      <c r="EC185" s="21">
        <f>EXP(-LN(2)/2)*EC184+(1-EXP(-LN(2)/2))/(LN(2)/2)*DW185*DZ185*VLOOKUP('Données projet'!$B$14,Paramètres!$A$1:$I$89,3,0)*0.475*44/12</f>
        <v>1.8370074338955233E-22</v>
      </c>
      <c r="ED185" s="22">
        <f t="shared" si="178"/>
        <v>0.10775072065474409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-1.1368683772161603E-12</v>
      </c>
      <c r="EK185" s="17">
        <f>EJ185*VLOOKUP('Données projet'!$B$15,Paramètres!$A$1:$I$89,3,0)*VLOOKUP('Données projet'!$B$15,Paramètres!$A$1:$I$89,5,0)</f>
        <v>-5.4683368944097316E-13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252.30925789500111</v>
      </c>
      <c r="EP185" s="59">
        <f t="shared" si="154"/>
        <v>213.96033794804805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0.22828626709101396</v>
      </c>
      <c r="EW185" s="21">
        <f>EXP(-LN(2)/25)*EW184+(1-EXP(-LN(2)/25))/(LN(2)/25)*Calculateur!ER185*Calculateur!ET185*VLOOKUP('Données projet'!$B$15,Paramètres!$A$1:$I$89,3,0)*0.475*44/12</f>
        <v>0.13641568790987349</v>
      </c>
      <c r="EX185" s="21">
        <f>EXP(-LN(2)/2)*EX184+(1-EXP(-LN(2)/2))/(LN(2)/2)*ER185*EU185*VLOOKUP('Données projet'!$B$15,Paramètres!$A$1:$I$89,3,0)*0.475*44/12</f>
        <v>1.9028513906989905E-22</v>
      </c>
      <c r="EY185" s="22">
        <f t="shared" si="181"/>
        <v>0.36470195500088742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-1.1368683772161603E-12</v>
      </c>
      <c r="FF185" s="17">
        <f>FE185*VLOOKUP('Données projet'!$B$16,Paramètres!$A$1:$I$89,3,0)*VLOOKUP('Données projet'!$B$16,Paramètres!$A$1:$I$89,5,0)</f>
        <v>-5.4683368944097316E-13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252.30925789500111</v>
      </c>
      <c r="FK185" s="59">
        <f t="shared" si="156"/>
        <v>213.96033794804805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0.22828626709101396</v>
      </c>
      <c r="FR185" s="21">
        <f>EXP(-LN(2)/25)*FR184+(1-EXP(-LN(2)/25))/(LN(2)/25)*Calculateur!FM185*Calculateur!FO185*VLOOKUP('Données projet'!$B$16,Paramètres!$A$1:$I$89,3,0)*0.475*44/12</f>
        <v>0.13641568790987349</v>
      </c>
      <c r="FS185" s="21">
        <f>EXP(-LN(2)/2)*FS184+(1-EXP(-LN(2)/2))/(LN(2)/2)*FM185*FP185*VLOOKUP('Données projet'!$B$16,Paramètres!$A$1:$I$89,3,0)*0.475*44/12</f>
        <v>1.9028513906989905E-22</v>
      </c>
      <c r="FT185" s="22">
        <f t="shared" si="184"/>
        <v>0.36470195500088742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117.54638373164624</v>
      </c>
      <c r="GF185" s="59">
        <f t="shared" si="158"/>
        <v>133.0740262536583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0.10902183659732761</v>
      </c>
      <c r="GM185" s="21">
        <f>EXP(-LN(2)/25)*GM184+(1-EXP(-LN(2)/25))/(LN(2)/25)*Calculateur!GH185*Calculateur!GJ185*VLOOKUP('Données projet'!$B$17,Paramètres!$A$1:$I$89,3,0)*0.475*44/12</f>
        <v>0.1279482242547571</v>
      </c>
      <c r="GN185" s="21">
        <f>EXP(-LN(2)/2)*GN184+(1-EXP(-LN(2)/2))/(LN(2)/2)*GH185*GK185*VLOOKUP('Données projet'!$B$17,Paramètres!$A$1:$I$89,3,0)*0.475*44/12</f>
        <v>5.3542045939150001E-23</v>
      </c>
      <c r="GO185" s="21">
        <f t="shared" si="187"/>
        <v>0.23697006085208472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2.8421709430404007E-14</v>
      </c>
      <c r="GV185" s="17">
        <f>GU185*VLOOKUP('Données projet'!$B$18,Paramètres!$A$1:$I$89,3,0)*VLOOKUP('Données projet'!$B$18,Paramètres!$A$1:$I$89,5,0)</f>
        <v>1.3567387213697657E-14</v>
      </c>
      <c r="GW185" s="13">
        <f t="shared" si="188"/>
        <v>2.5717320947985821E-13</v>
      </c>
      <c r="GX185" s="20">
        <f t="shared" si="189"/>
        <v>4.7153987257460977E-13</v>
      </c>
      <c r="GY185" s="59">
        <f t="shared" si="137"/>
        <v>293.33333333333377</v>
      </c>
      <c r="GZ185" s="59">
        <f ca="1">AVERAGE(OFFSET($GY$3,0,0,'Données projet'!$E$18+1,1))-AVERAGE(OFFSET($H$3,0,0,'Données projet'!$E$18+1,1))</f>
        <v>43.147469606759159</v>
      </c>
      <c r="HA185" s="59">
        <f t="shared" si="160"/>
        <v>147.46995307968473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1.7771339087120666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7.2947993770124241E-24</v>
      </c>
      <c r="HJ185" s="22">
        <f t="shared" si="190"/>
        <v>1.7771339087120666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2.8421709430404007E-14</v>
      </c>
      <c r="O186" s="13">
        <f>N186*VLOOKUP('Données projet'!$B$9,Paramètres!$A$1:$I$89,3,0)*VLOOKUP('Données projet'!$B$9,Paramètres!$A$1:$I$89,5,0)</f>
        <v>2.5715962692629544E-14</v>
      </c>
      <c r="P186" s="13">
        <f t="shared" si="141"/>
        <v>4.5248818890525812E-13</v>
      </c>
      <c r="Q186" s="20">
        <f t="shared" si="162"/>
        <v>8.3287223069965432E-13</v>
      </c>
      <c r="R186" s="59">
        <f t="shared" si="109"/>
        <v>293.33333333333417</v>
      </c>
      <c r="S186" s="59">
        <f ca="1">AVERAGE(OFFSET($R$3,0,0,'Données projet'!$E$9+1,1))-AVERAGE(OFFSET($H$3,0,0,'Données projet'!$E$9+1,1))</f>
        <v>138.8931001150624</v>
      </c>
      <c r="T186" s="59">
        <f t="shared" si="142"/>
        <v>48.964659354096625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-7.4487616075202836E-14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191.94797389630673</v>
      </c>
      <c r="AO186" s="59">
        <f t="shared" si="144"/>
        <v>273.52540822767878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0.20198336107539508</v>
      </c>
      <c r="AW186" s="21">
        <f>EXP(-LN(2)/2)*AW185+(1-EXP(-LN(2)/2))/(LN(2)/2)*AQ186*AT186*VLOOKUP('Données projet'!$B$10,Paramètres!$A$1:$I$89,3,0)*0.475*44/12</f>
        <v>2.1714540784679663E-22</v>
      </c>
      <c r="AX186" s="21">
        <f t="shared" si="166"/>
        <v>0.32637430314017224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3.5470293369144201E-14</v>
      </c>
      <c r="BF186" s="13">
        <f t="shared" si="167"/>
        <v>6.0119115841663204E-13</v>
      </c>
      <c r="BG186" s="20">
        <f t="shared" si="168"/>
        <v>1.1088520285268936E-12</v>
      </c>
      <c r="BH186" s="59">
        <f t="shared" si="116"/>
        <v>293.33333333333445</v>
      </c>
      <c r="BI186" s="59">
        <f ca="1">AVERAGE(OFFSET($BH$3,0,0,'Données projet'!$E$11+1,1))-AVERAGE(OFFSET($H$3,0,0,'Données projet'!$E$11+1,1))</f>
        <v>162.91481796710048</v>
      </c>
      <c r="BJ186" s="59">
        <f t="shared" si="146"/>
        <v>182.56192390367823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0.13437581138280502</v>
      </c>
      <c r="BQ186" s="21">
        <f>EXP(-LN(2)/25)*BQ185+(1-EXP(-LN(2)/25))/(LN(2)/25)*Calculateur!BL186*Calculateur!BN186*VLOOKUP('Données projet'!$B$11,Paramètres!$A$1:$I$89,3,0)*0.475*44/12</f>
        <v>0.21967464058479899</v>
      </c>
      <c r="BR186" s="21">
        <f>EXP(-LN(2)/2)*BR185+(1-EXP(-LN(2)/2))/(LN(2)/2)*BL186*BO186*VLOOKUP('Données projet'!$B$11,Paramètres!$A$1:$I$89,3,0)*0.475*44/12</f>
        <v>1.6816922809550984E-22</v>
      </c>
      <c r="BS186" s="22">
        <f t="shared" si="169"/>
        <v>0.35405045196760399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-5.3205440053716299E-14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123.60520571614535</v>
      </c>
      <c r="CE186" s="59">
        <f t="shared" si="148"/>
        <v>119.00926870519527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4.1902457254861324E-2</v>
      </c>
      <c r="CL186" s="21">
        <f>EXP(-LN(2)/25)*CL185+(1-EXP(-LN(2)/25))/(LN(2)/25)*Calculateur!CG186*Calculateur!CI186*VLOOKUP('Données projet'!$B$12,Paramètres!$A$1:$I$89,3,0)*0.475*44/12</f>
        <v>6.8679904822502996E-2</v>
      </c>
      <c r="CM186" s="21">
        <f>EXP(-LN(2)/2)*CM185+(1-EXP(-LN(2)/2))/(LN(2)/2)*CG186*CJ186*VLOOKUP('Données projet'!$B$12,Paramètres!$A$1:$I$89,3,0)*0.475*44/12</f>
        <v>5.7215039352325103E-23</v>
      </c>
      <c r="CN186" s="22">
        <f t="shared" si="172"/>
        <v>0.11058236207736433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2.9706370696658272E-14</v>
      </c>
      <c r="CV186" s="13">
        <f t="shared" si="173"/>
        <v>5.1399863782592153E-13</v>
      </c>
      <c r="CW186" s="20">
        <f t="shared" si="174"/>
        <v>9.4695288984349312E-13</v>
      </c>
      <c r="CX186" s="59">
        <f t="shared" si="122"/>
        <v>293.33333333333428</v>
      </c>
      <c r="CY186" s="59">
        <f ca="1">AVERAGE(OFFSET($CX$3,0,0,'Données projet'!$E$13+1,1))-AVERAGE(OFFSET($H$3,0,0,'Données projet'!$E$13+1,1))</f>
        <v>177.94336949486529</v>
      </c>
      <c r="CZ186" s="59">
        <f t="shared" si="150"/>
        <v>65.559373432574603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3.3992364478763198E-14</v>
      </c>
      <c r="DQ186" s="13">
        <f t="shared" si="176"/>
        <v>5.790027782444094E-13</v>
      </c>
      <c r="DR186" s="20">
        <f t="shared" si="177"/>
        <v>1.0676332069095257E-12</v>
      </c>
      <c r="DS186" s="59">
        <f t="shared" si="125"/>
        <v>293.33333333333439</v>
      </c>
      <c r="DT186" s="59">
        <f ca="1">AVERAGE(OFFSET($DS$3,0,0,'Données projet'!$E$14+1,1))-AVERAGE(OFFSET($H$3,0,0,'Données projet'!$E$14+1,1))</f>
        <v>165.39579887388538</v>
      </c>
      <c r="DU186" s="59">
        <f t="shared" si="152"/>
        <v>155.89639262545802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0.10480427153207597</v>
      </c>
      <c r="EC186" s="21">
        <f>EXP(-LN(2)/2)*EC185+(1-EXP(-LN(2)/2))/(LN(2)/2)*DW186*DZ186*VLOOKUP('Données projet'!$B$14,Paramètres!$A$1:$I$89,3,0)*0.475*44/12</f>
        <v>1.298960413597623E-22</v>
      </c>
      <c r="ED186" s="22">
        <f t="shared" si="178"/>
        <v>0.10480427153207597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-1.1368683772161603E-12</v>
      </c>
      <c r="EK186" s="17">
        <f>EJ186*VLOOKUP('Données projet'!$B$15,Paramètres!$A$1:$I$89,3,0)*VLOOKUP('Données projet'!$B$15,Paramètres!$A$1:$I$89,5,0)</f>
        <v>-5.4683368944097316E-13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252.30925789500111</v>
      </c>
      <c r="EP186" s="59">
        <f t="shared" si="154"/>
        <v>213.96033794804805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0.22380971263423322</v>
      </c>
      <c r="EW186" s="21">
        <f>EXP(-LN(2)/25)*EW185+(1-EXP(-LN(2)/25))/(LN(2)/25)*Calculateur!ER186*Calculateur!ET186*VLOOKUP('Données projet'!$B$15,Paramètres!$A$1:$I$89,3,0)*0.475*44/12</f>
        <v>0.13268539375018876</v>
      </c>
      <c r="EX186" s="21">
        <f>EXP(-LN(2)/2)*EX185+(1-EXP(-LN(2)/2))/(LN(2)/2)*ER186*EU186*VLOOKUP('Données projet'!$B$15,Paramètres!$A$1:$I$89,3,0)*0.475*44/12</f>
        <v>1.3455191219535087E-22</v>
      </c>
      <c r="EY186" s="22">
        <f t="shared" si="181"/>
        <v>0.35649510638442194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-1.1368683772161603E-12</v>
      </c>
      <c r="FF186" s="17">
        <f>FE186*VLOOKUP('Données projet'!$B$16,Paramètres!$A$1:$I$89,3,0)*VLOOKUP('Données projet'!$B$16,Paramètres!$A$1:$I$89,5,0)</f>
        <v>-5.4683368944097316E-13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252.30925789500111</v>
      </c>
      <c r="FK186" s="59">
        <f t="shared" si="156"/>
        <v>213.96033794804805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0.22380971263423322</v>
      </c>
      <c r="FR186" s="21">
        <f>EXP(-LN(2)/25)*FR185+(1-EXP(-LN(2)/25))/(LN(2)/25)*Calculateur!FM186*Calculateur!FO186*VLOOKUP('Données projet'!$B$16,Paramètres!$A$1:$I$89,3,0)*0.475*44/12</f>
        <v>0.13268539375018876</v>
      </c>
      <c r="FS186" s="21">
        <f>EXP(-LN(2)/2)*FS185+(1-EXP(-LN(2)/2))/(LN(2)/2)*FM186*FP186*VLOOKUP('Données projet'!$B$16,Paramètres!$A$1:$I$89,3,0)*0.475*44/12</f>
        <v>1.3455191219535087E-22</v>
      </c>
      <c r="FT186" s="22">
        <f t="shared" si="184"/>
        <v>0.35649510638442194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117.54638373164624</v>
      </c>
      <c r="GF186" s="59">
        <f t="shared" si="158"/>
        <v>133.0740262536583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0.10688398487840833</v>
      </c>
      <c r="GM186" s="21">
        <f>EXP(-LN(2)/25)*GM185+(1-EXP(-LN(2)/25))/(LN(2)/25)*Calculateur!GH186*Calculateur!GJ186*VLOOKUP('Données projet'!$B$17,Paramètres!$A$1:$I$89,3,0)*0.475*44/12</f>
        <v>0.12444947333400609</v>
      </c>
      <c r="GN186" s="21">
        <f>EXP(-LN(2)/2)*GN185+(1-EXP(-LN(2)/2))/(LN(2)/2)*GH186*GK186*VLOOKUP('Données projet'!$B$17,Paramètres!$A$1:$I$89,3,0)*0.475*44/12</f>
        <v>3.7859943762174616E-23</v>
      </c>
      <c r="GO186" s="21">
        <f t="shared" si="187"/>
        <v>0.23133345821241441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2.8421709430404007E-14</v>
      </c>
      <c r="GV186" s="17">
        <f>GU186*VLOOKUP('Données projet'!$B$18,Paramètres!$A$1:$I$89,3,0)*VLOOKUP('Données projet'!$B$18,Paramètres!$A$1:$I$89,5,0)</f>
        <v>1.3567387213697657E-14</v>
      </c>
      <c r="GW186" s="13">
        <f t="shared" si="188"/>
        <v>2.5717320947985821E-13</v>
      </c>
      <c r="GX186" s="20">
        <f t="shared" si="189"/>
        <v>4.7153987257460977E-13</v>
      </c>
      <c r="GY186" s="59">
        <f t="shared" si="137"/>
        <v>293.33333333333377</v>
      </c>
      <c r="GZ186" s="59">
        <f ca="1">AVERAGE(OFFSET($GY$3,0,0,'Données projet'!$E$18+1,1))-AVERAGE(OFFSET($H$3,0,0,'Données projet'!$E$18+1,1))</f>
        <v>43.147469606759159</v>
      </c>
      <c r="HA186" s="59">
        <f t="shared" si="160"/>
        <v>147.46995307968473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1.7422853967068765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5.1582021068808875E-24</v>
      </c>
      <c r="HJ186" s="22">
        <f t="shared" si="190"/>
        <v>1.7422853967068765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2.8421709430404007E-14</v>
      </c>
      <c r="O187" s="13">
        <f>N187*VLOOKUP('Données projet'!$B$9,Paramètres!$A$1:$I$89,3,0)*VLOOKUP('Données projet'!$B$9,Paramètres!$A$1:$I$89,5,0)</f>
        <v>2.5715962692629544E-14</v>
      </c>
      <c r="P187" s="13">
        <f t="shared" si="141"/>
        <v>4.5248818890525812E-13</v>
      </c>
      <c r="Q187" s="20">
        <f t="shared" si="162"/>
        <v>8.3287223069965432E-13</v>
      </c>
      <c r="R187" s="59">
        <f t="shared" si="109"/>
        <v>293.33333333333417</v>
      </c>
      <c r="S187" s="59">
        <f ca="1">AVERAGE(OFFSET($R$3,0,0,'Données projet'!$E$9+1,1))-AVERAGE(OFFSET($H$3,0,0,'Données projet'!$E$9+1,1))</f>
        <v>138.8931001150624</v>
      </c>
      <c r="T187" s="59">
        <f t="shared" si="142"/>
        <v>48.964659354096625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-7.4487616075202836E-14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191.94797389630673</v>
      </c>
      <c r="AO187" s="59">
        <f t="shared" si="144"/>
        <v>273.52540822767878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0.19646011544494507</v>
      </c>
      <c r="AW187" s="21">
        <f>EXP(-LN(2)/2)*AW186+(1-EXP(-LN(2)/2))/(LN(2)/2)*AQ187*AT187*VLOOKUP('Données projet'!$B$10,Paramètres!$A$1:$I$89,3,0)*0.475*44/12</f>
        <v>1.5354499039198845E-22</v>
      </c>
      <c r="AX187" s="21">
        <f t="shared" si="166"/>
        <v>0.31841182700681503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3.5470293369144201E-14</v>
      </c>
      <c r="BF187" s="13">
        <f t="shared" si="167"/>
        <v>6.0119115841663204E-13</v>
      </c>
      <c r="BG187" s="20">
        <f t="shared" si="168"/>
        <v>1.1088520285268936E-12</v>
      </c>
      <c r="BH187" s="59">
        <f t="shared" si="116"/>
        <v>293.33333333333445</v>
      </c>
      <c r="BI187" s="59">
        <f ca="1">AVERAGE(OFFSET($BH$3,0,0,'Données projet'!$E$11+1,1))-AVERAGE(OFFSET($H$3,0,0,'Données projet'!$E$11+1,1))</f>
        <v>162.91481796710048</v>
      </c>
      <c r="BJ187" s="59">
        <f t="shared" si="146"/>
        <v>182.56192390367823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0.13174078368274017</v>
      </c>
      <c r="BQ187" s="21">
        <f>EXP(-LN(2)/25)*BQ186+(1-EXP(-LN(2)/25))/(LN(2)/25)*Calculateur!BL187*Calculateur!BN187*VLOOKUP('Données projet'!$B$11,Paramètres!$A$1:$I$89,3,0)*0.475*44/12</f>
        <v>0.2136676259858204</v>
      </c>
      <c r="BR187" s="21">
        <f>EXP(-LN(2)/2)*BR186+(1-EXP(-LN(2)/2))/(LN(2)/2)*BL187*BO187*VLOOKUP('Données projet'!$B$11,Paramètres!$A$1:$I$89,3,0)*0.475*44/12</f>
        <v>1.1891360157324227E-22</v>
      </c>
      <c r="BS187" s="22">
        <f t="shared" si="169"/>
        <v>0.34540840966856057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-5.3205440053716299E-14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123.60520571614535</v>
      </c>
      <c r="CE187" s="59">
        <f t="shared" si="148"/>
        <v>119.00926870519527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4.108077562606878E-2</v>
      </c>
      <c r="CL187" s="21">
        <f>EXP(-LN(2)/25)*CL186+(1-EXP(-LN(2)/25))/(LN(2)/25)*Calculateur!CG187*Calculateur!CI187*VLOOKUP('Données projet'!$B$12,Paramètres!$A$1:$I$89,3,0)*0.475*44/12</f>
        <v>6.6801849213412423E-2</v>
      </c>
      <c r="CM187" s="21">
        <f>EXP(-LN(2)/2)*CM186+(1-EXP(-LN(2)/2))/(LN(2)/2)*CG187*CJ187*VLOOKUP('Données projet'!$B$12,Paramètres!$A$1:$I$89,3,0)*0.475*44/12</f>
        <v>4.0457142311884253E-23</v>
      </c>
      <c r="CN187" s="22">
        <f t="shared" si="172"/>
        <v>0.1078826248394812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2.9706370696658272E-14</v>
      </c>
      <c r="CV187" s="13">
        <f t="shared" si="173"/>
        <v>5.1399863782592153E-13</v>
      </c>
      <c r="CW187" s="20">
        <f t="shared" si="174"/>
        <v>9.4695288984349312E-13</v>
      </c>
      <c r="CX187" s="59">
        <f t="shared" si="122"/>
        <v>293.33333333333428</v>
      </c>
      <c r="CY187" s="59">
        <f ca="1">AVERAGE(OFFSET($CX$3,0,0,'Données projet'!$E$13+1,1))-AVERAGE(OFFSET($H$3,0,0,'Données projet'!$E$13+1,1))</f>
        <v>177.94336949486529</v>
      </c>
      <c r="CZ187" s="59">
        <f t="shared" si="150"/>
        <v>65.559373432574603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3.3992364478763198E-14</v>
      </c>
      <c r="DQ187" s="13">
        <f t="shared" si="176"/>
        <v>5.790027782444094E-13</v>
      </c>
      <c r="DR187" s="20">
        <f t="shared" si="177"/>
        <v>1.0676332069095257E-12</v>
      </c>
      <c r="DS187" s="59">
        <f t="shared" si="125"/>
        <v>293.33333333333439</v>
      </c>
      <c r="DT187" s="59">
        <f ca="1">AVERAGE(OFFSET($DS$3,0,0,'Données projet'!$E$14+1,1))-AVERAGE(OFFSET($H$3,0,0,'Données projet'!$E$14+1,1))</f>
        <v>165.39579887388538</v>
      </c>
      <c r="DU187" s="59">
        <f t="shared" si="152"/>
        <v>155.89639262545802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0.10193839321561425</v>
      </c>
      <c r="EC187" s="21">
        <f>EXP(-LN(2)/2)*EC186+(1-EXP(-LN(2)/2))/(LN(2)/2)*DW187*DZ187*VLOOKUP('Données projet'!$B$14,Paramètres!$A$1:$I$89,3,0)*0.475*44/12</f>
        <v>9.1850371694776167E-23</v>
      </c>
      <c r="ED187" s="22">
        <f t="shared" si="178"/>
        <v>0.10193839321561425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-1.1368683772161603E-12</v>
      </c>
      <c r="EK187" s="17">
        <f>EJ187*VLOOKUP('Données projet'!$B$15,Paramètres!$A$1:$I$89,3,0)*VLOOKUP('Données projet'!$B$15,Paramètres!$A$1:$I$89,5,0)</f>
        <v>-5.4683368944097316E-13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252.30925789500111</v>
      </c>
      <c r="EP187" s="59">
        <f t="shared" si="154"/>
        <v>213.96033794804805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0.21942094067992132</v>
      </c>
      <c r="EW187" s="21">
        <f>EXP(-LN(2)/25)*EW186+(1-EXP(-LN(2)/25))/(LN(2)/25)*Calculateur!ER187*Calculateur!ET187*VLOOKUP('Données projet'!$B$15,Paramètres!$A$1:$I$89,3,0)*0.475*44/12</f>
        <v>0.12905710468046824</v>
      </c>
      <c r="EX187" s="21">
        <f>EXP(-LN(2)/2)*EX186+(1-EXP(-LN(2)/2))/(LN(2)/2)*ER187*EU187*VLOOKUP('Données projet'!$B$15,Paramètres!$A$1:$I$89,3,0)*0.475*44/12</f>
        <v>9.5142569534949525E-23</v>
      </c>
      <c r="EY187" s="22">
        <f t="shared" si="181"/>
        <v>0.34847804536038957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-1.1368683772161603E-12</v>
      </c>
      <c r="FF187" s="17">
        <f>FE187*VLOOKUP('Données projet'!$B$16,Paramètres!$A$1:$I$89,3,0)*VLOOKUP('Données projet'!$B$16,Paramètres!$A$1:$I$89,5,0)</f>
        <v>-5.4683368944097316E-13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252.30925789500111</v>
      </c>
      <c r="FK187" s="59">
        <f t="shared" si="156"/>
        <v>213.96033794804805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0.21942094067992132</v>
      </c>
      <c r="FR187" s="21">
        <f>EXP(-LN(2)/25)*FR186+(1-EXP(-LN(2)/25))/(LN(2)/25)*Calculateur!FM187*Calculateur!FO187*VLOOKUP('Données projet'!$B$16,Paramètres!$A$1:$I$89,3,0)*0.475*44/12</f>
        <v>0.12905710468046824</v>
      </c>
      <c r="FS187" s="21">
        <f>EXP(-LN(2)/2)*FS186+(1-EXP(-LN(2)/2))/(LN(2)/2)*FM187*FP187*VLOOKUP('Données projet'!$B$16,Paramètres!$A$1:$I$89,3,0)*0.475*44/12</f>
        <v>9.5142569534949525E-23</v>
      </c>
      <c r="FT187" s="22">
        <f t="shared" si="184"/>
        <v>0.34847804536038957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117.54638373164624</v>
      </c>
      <c r="GF187" s="59">
        <f t="shared" si="158"/>
        <v>133.0740262536583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0.10478805512773627</v>
      </c>
      <c r="GM187" s="21">
        <f>EXP(-LN(2)/25)*GM186+(1-EXP(-LN(2)/25))/(LN(2)/25)*Calculateur!GH187*Calculateur!GJ187*VLOOKUP('Données projet'!$B$17,Paramètres!$A$1:$I$89,3,0)*0.475*44/12</f>
        <v>0.12104639594117432</v>
      </c>
      <c r="GN187" s="21">
        <f>EXP(-LN(2)/2)*GN186+(1-EXP(-LN(2)/2))/(LN(2)/2)*GH187*GK187*VLOOKUP('Données projet'!$B$17,Paramètres!$A$1:$I$89,3,0)*0.475*44/12</f>
        <v>2.6771022969575001E-23</v>
      </c>
      <c r="GO187" s="21">
        <f t="shared" si="187"/>
        <v>0.22583445106891059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2.8421709430404007E-14</v>
      </c>
      <c r="GV187" s="17">
        <f>GU187*VLOOKUP('Données projet'!$B$18,Paramètres!$A$1:$I$89,3,0)*VLOOKUP('Données projet'!$B$18,Paramètres!$A$1:$I$89,5,0)</f>
        <v>1.3567387213697657E-14</v>
      </c>
      <c r="GW187" s="13">
        <f t="shared" si="188"/>
        <v>2.5717320947985821E-13</v>
      </c>
      <c r="GX187" s="20">
        <f t="shared" si="189"/>
        <v>4.7153987257460977E-13</v>
      </c>
      <c r="GY187" s="59">
        <f t="shared" si="137"/>
        <v>293.33333333333377</v>
      </c>
      <c r="GZ187" s="59">
        <f ca="1">AVERAGE(OFFSET($GY$3,0,0,'Données projet'!$E$18+1,1))-AVERAGE(OFFSET($H$3,0,0,'Données projet'!$E$18+1,1))</f>
        <v>43.147469606759159</v>
      </c>
      <c r="HA187" s="59">
        <f t="shared" si="160"/>
        <v>147.46995307968473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1.7081202427666149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3.647399688506212E-24</v>
      </c>
      <c r="HJ187" s="22">
        <f t="shared" si="190"/>
        <v>1.7081202427666149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2.8421709430404007E-14</v>
      </c>
      <c r="O188" s="13">
        <f>N188*VLOOKUP('Données projet'!$B$9,Paramètres!$A$1:$I$89,3,0)*VLOOKUP('Données projet'!$B$9,Paramètres!$A$1:$I$89,5,0)</f>
        <v>2.5715962692629544E-14</v>
      </c>
      <c r="P188" s="13">
        <f t="shared" si="141"/>
        <v>4.5248818890525812E-13</v>
      </c>
      <c r="Q188" s="20">
        <f t="shared" si="162"/>
        <v>8.3287223069965432E-13</v>
      </c>
      <c r="R188" s="59">
        <f t="shared" si="109"/>
        <v>293.33333333333417</v>
      </c>
      <c r="S188" s="59">
        <f ca="1">AVERAGE(OFFSET($R$3,0,0,'Données projet'!$E$9+1,1))-AVERAGE(OFFSET($H$3,0,0,'Données projet'!$E$9+1,1))</f>
        <v>138.8931001150624</v>
      </c>
      <c r="T188" s="59">
        <f t="shared" si="142"/>
        <v>48.964659354096625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-7.4487616075202836E-14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191.94797389630673</v>
      </c>
      <c r="AO188" s="59">
        <f t="shared" si="144"/>
        <v>273.52540822767878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0.1910879032567146</v>
      </c>
      <c r="AW188" s="21">
        <f>EXP(-LN(2)/2)*AW187+(1-EXP(-LN(2)/2))/(LN(2)/2)*AQ188*AT188*VLOOKUP('Données projet'!$B$10,Paramètres!$A$1:$I$89,3,0)*0.475*44/12</f>
        <v>1.0857270392339831E-22</v>
      </c>
      <c r="AX188" s="21">
        <f t="shared" si="166"/>
        <v>0.3106482161380556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3.5470293369144201E-14</v>
      </c>
      <c r="BF188" s="13">
        <f t="shared" si="167"/>
        <v>6.0119115841663204E-13</v>
      </c>
      <c r="BG188" s="20">
        <f t="shared" si="168"/>
        <v>1.1088520285268936E-12</v>
      </c>
      <c r="BH188" s="59">
        <f t="shared" si="116"/>
        <v>293.33333333333445</v>
      </c>
      <c r="BI188" s="59">
        <f ca="1">AVERAGE(OFFSET($BH$3,0,0,'Données projet'!$E$11+1,1))-AVERAGE(OFFSET($H$3,0,0,'Données projet'!$E$11+1,1))</f>
        <v>162.91481796710048</v>
      </c>
      <c r="BJ188" s="59">
        <f t="shared" si="146"/>
        <v>182.56192390367823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0.12915742726866539</v>
      </c>
      <c r="BQ188" s="21">
        <f>EXP(-LN(2)/25)*BQ187+(1-EXP(-LN(2)/25))/(LN(2)/25)*Calculateur!BL188*Calculateur!BN188*VLOOKUP('Données projet'!$B$11,Paramètres!$A$1:$I$89,3,0)*0.475*44/12</f>
        <v>0.20782487351694603</v>
      </c>
      <c r="BR188" s="21">
        <f>EXP(-LN(2)/2)*BR187+(1-EXP(-LN(2)/2))/(LN(2)/2)*BL188*BO188*VLOOKUP('Données projet'!$B$11,Paramètres!$A$1:$I$89,3,0)*0.475*44/12</f>
        <v>8.4084614047754919E-23</v>
      </c>
      <c r="BS188" s="22">
        <f t="shared" si="169"/>
        <v>0.33698230078561142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-5.3205440053716299E-14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123.60520571614535</v>
      </c>
      <c r="CE188" s="59">
        <f t="shared" si="148"/>
        <v>119.00926870519527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4.0275206672840548E-2</v>
      </c>
      <c r="CL188" s="21">
        <f>EXP(-LN(2)/25)*CL187+(1-EXP(-LN(2)/25))/(LN(2)/25)*Calculateur!CG188*Calculateur!CI188*VLOOKUP('Données projet'!$B$12,Paramètres!$A$1:$I$89,3,0)*0.475*44/12</f>
        <v>6.497514913371509E-2</v>
      </c>
      <c r="CM188" s="21">
        <f>EXP(-LN(2)/2)*CM187+(1-EXP(-LN(2)/2))/(LN(2)/2)*CG188*CJ188*VLOOKUP('Données projet'!$B$12,Paramètres!$A$1:$I$89,3,0)*0.475*44/12</f>
        <v>2.8607519676162551E-23</v>
      </c>
      <c r="CN188" s="22">
        <f t="shared" si="172"/>
        <v>0.10525035580655565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2.9706370696658272E-14</v>
      </c>
      <c r="CV188" s="13">
        <f t="shared" si="173"/>
        <v>5.1399863782592153E-13</v>
      </c>
      <c r="CW188" s="20">
        <f t="shared" si="174"/>
        <v>9.4695288984349312E-13</v>
      </c>
      <c r="CX188" s="59">
        <f t="shared" si="122"/>
        <v>293.33333333333428</v>
      </c>
      <c r="CY188" s="59">
        <f ca="1">AVERAGE(OFFSET($CX$3,0,0,'Données projet'!$E$13+1,1))-AVERAGE(OFFSET($H$3,0,0,'Données projet'!$E$13+1,1))</f>
        <v>177.94336949486529</v>
      </c>
      <c r="CZ188" s="59">
        <f t="shared" si="150"/>
        <v>65.559373432574603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3.3992364478763198E-14</v>
      </c>
      <c r="DQ188" s="13">
        <f t="shared" si="176"/>
        <v>5.790027782444094E-13</v>
      </c>
      <c r="DR188" s="20">
        <f t="shared" si="177"/>
        <v>1.0676332069095257E-12</v>
      </c>
      <c r="DS188" s="59">
        <f t="shared" si="125"/>
        <v>293.33333333333439</v>
      </c>
      <c r="DT188" s="59">
        <f ca="1">AVERAGE(OFFSET($DS$3,0,0,'Données projet'!$E$14+1,1))-AVERAGE(OFFSET($H$3,0,0,'Données projet'!$E$14+1,1))</f>
        <v>165.39579887388538</v>
      </c>
      <c r="DU188" s="59">
        <f t="shared" si="152"/>
        <v>155.89639262545802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9.9150882492426165E-2</v>
      </c>
      <c r="EC188" s="21">
        <f>EXP(-LN(2)/2)*EC187+(1-EXP(-LN(2)/2))/(LN(2)/2)*DW188*DZ188*VLOOKUP('Données projet'!$B$14,Paramètres!$A$1:$I$89,3,0)*0.475*44/12</f>
        <v>6.4948020679881148E-23</v>
      </c>
      <c r="ED188" s="22">
        <f t="shared" si="178"/>
        <v>9.9150882492426165E-2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-1.1368683772161603E-12</v>
      </c>
      <c r="EK188" s="17">
        <f>EJ188*VLOOKUP('Données projet'!$B$15,Paramètres!$A$1:$I$89,3,0)*VLOOKUP('Données projet'!$B$15,Paramètres!$A$1:$I$89,5,0)</f>
        <v>-5.4683368944097316E-13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252.30925789500111</v>
      </c>
      <c r="EP188" s="59">
        <f t="shared" si="154"/>
        <v>213.96033794804805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0.21511822986674692</v>
      </c>
      <c r="EW188" s="21">
        <f>EXP(-LN(2)/25)*EW187+(1-EXP(-LN(2)/25))/(LN(2)/25)*Calculateur!ER188*Calculateur!ET188*VLOOKUP('Données projet'!$B$15,Paramètres!$A$1:$I$89,3,0)*0.475*44/12</f>
        <v>0.12552803136616267</v>
      </c>
      <c r="EX188" s="21">
        <f>EXP(-LN(2)/2)*EX187+(1-EXP(-LN(2)/2))/(LN(2)/2)*ER188*EU188*VLOOKUP('Données projet'!$B$15,Paramètres!$A$1:$I$89,3,0)*0.475*44/12</f>
        <v>6.7275956097675436E-23</v>
      </c>
      <c r="EY188" s="22">
        <f t="shared" si="181"/>
        <v>0.34064626123290959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-1.1368683772161603E-12</v>
      </c>
      <c r="FF188" s="17">
        <f>FE188*VLOOKUP('Données projet'!$B$16,Paramètres!$A$1:$I$89,3,0)*VLOOKUP('Données projet'!$B$16,Paramètres!$A$1:$I$89,5,0)</f>
        <v>-5.4683368944097316E-13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252.30925789500111</v>
      </c>
      <c r="FK188" s="59">
        <f t="shared" si="156"/>
        <v>213.96033794804805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0.21511822986674692</v>
      </c>
      <c r="FR188" s="21">
        <f>EXP(-LN(2)/25)*FR187+(1-EXP(-LN(2)/25))/(LN(2)/25)*Calculateur!FM188*Calculateur!FO188*VLOOKUP('Données projet'!$B$16,Paramètres!$A$1:$I$89,3,0)*0.475*44/12</f>
        <v>0.12552803136616267</v>
      </c>
      <c r="FS188" s="21">
        <f>EXP(-LN(2)/2)*FS187+(1-EXP(-LN(2)/2))/(LN(2)/2)*FM188*FP188*VLOOKUP('Données projet'!$B$16,Paramètres!$A$1:$I$89,3,0)*0.475*44/12</f>
        <v>6.7275956097675436E-23</v>
      </c>
      <c r="FT188" s="22">
        <f t="shared" si="184"/>
        <v>0.34064626123290959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117.54638373164624</v>
      </c>
      <c r="GF188" s="59">
        <f t="shared" si="158"/>
        <v>133.0740262536583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0.10273322528108397</v>
      </c>
      <c r="GM188" s="21">
        <f>EXP(-LN(2)/25)*GM187+(1-EXP(-LN(2)/25))/(LN(2)/25)*Calculateur!GH188*Calculateur!GJ188*VLOOKUP('Données projet'!$B$17,Paramètres!$A$1:$I$89,3,0)*0.475*44/12</f>
        <v>0.11773637587860961</v>
      </c>
      <c r="GN188" s="21">
        <f>EXP(-LN(2)/2)*GN187+(1-EXP(-LN(2)/2))/(LN(2)/2)*GH188*GK188*VLOOKUP('Données projet'!$B$17,Paramètres!$A$1:$I$89,3,0)*0.475*44/12</f>
        <v>1.8929971881087308E-23</v>
      </c>
      <c r="GO188" s="21">
        <f t="shared" si="187"/>
        <v>0.22046960115969358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2.8421709430404007E-14</v>
      </c>
      <c r="GV188" s="17">
        <f>GU188*VLOOKUP('Données projet'!$B$18,Paramètres!$A$1:$I$89,3,0)*VLOOKUP('Données projet'!$B$18,Paramètres!$A$1:$I$89,5,0)</f>
        <v>1.3567387213697657E-14</v>
      </c>
      <c r="GW188" s="13">
        <f t="shared" si="188"/>
        <v>2.5717320947985821E-13</v>
      </c>
      <c r="GX188" s="20">
        <f t="shared" si="189"/>
        <v>4.7153987257460977E-13</v>
      </c>
      <c r="GY188" s="59">
        <f t="shared" si="137"/>
        <v>293.33333333333377</v>
      </c>
      <c r="GZ188" s="59">
        <f ca="1">AVERAGE(OFFSET($GY$3,0,0,'Données projet'!$E$18+1,1))-AVERAGE(OFFSET($H$3,0,0,'Données projet'!$E$18+1,1))</f>
        <v>43.147469606759159</v>
      </c>
      <c r="HA188" s="59">
        <f t="shared" si="160"/>
        <v>147.46995307968473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1.6746250466564354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2.5791010534404437E-24</v>
      </c>
      <c r="HJ188" s="22">
        <f t="shared" si="190"/>
        <v>1.6746250466564354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2.8421709430404007E-14</v>
      </c>
      <c r="O189" s="13">
        <f>N189*VLOOKUP('Données projet'!$B$9,Paramètres!$A$1:$I$89,3,0)*VLOOKUP('Données projet'!$B$9,Paramètres!$A$1:$I$89,5,0)</f>
        <v>2.5715962692629544E-14</v>
      </c>
      <c r="P189" s="13">
        <f t="shared" si="141"/>
        <v>4.5248818890525812E-13</v>
      </c>
      <c r="Q189" s="20">
        <f t="shared" si="162"/>
        <v>8.3287223069965432E-13</v>
      </c>
      <c r="R189" s="59">
        <f t="shared" si="109"/>
        <v>293.33333333333417</v>
      </c>
      <c r="S189" s="59">
        <f ca="1">AVERAGE(OFFSET($R$3,0,0,'Données projet'!$E$9+1,1))-AVERAGE(OFFSET($H$3,0,0,'Données projet'!$E$9+1,1))</f>
        <v>138.8931001150624</v>
      </c>
      <c r="T189" s="59">
        <f t="shared" si="142"/>
        <v>48.964659354096625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-7.4487616075202836E-14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191.94797389630673</v>
      </c>
      <c r="AO189" s="59">
        <f t="shared" si="144"/>
        <v>273.52540822767878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0.18586259449328363</v>
      </c>
      <c r="AW189" s="21">
        <f>EXP(-LN(2)/2)*AW188+(1-EXP(-LN(2)/2))/(LN(2)/2)*AQ189*AT189*VLOOKUP('Données projet'!$B$10,Paramètres!$A$1:$I$89,3,0)*0.475*44/12</f>
        <v>7.6772495195994224E-23</v>
      </c>
      <c r="AX189" s="21">
        <f t="shared" si="166"/>
        <v>0.30307840256361168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3.5470293369144201E-14</v>
      </c>
      <c r="BF189" s="13">
        <f t="shared" si="167"/>
        <v>6.0119115841663204E-13</v>
      </c>
      <c r="BG189" s="20">
        <f t="shared" si="168"/>
        <v>1.1088520285268936E-12</v>
      </c>
      <c r="BH189" s="59">
        <f t="shared" si="116"/>
        <v>293.33333333333445</v>
      </c>
      <c r="BI189" s="59">
        <f ca="1">AVERAGE(OFFSET($BH$3,0,0,'Données projet'!$E$11+1,1))-AVERAGE(OFFSET($H$3,0,0,'Données projet'!$E$11+1,1))</f>
        <v>162.91481796710048</v>
      </c>
      <c r="BJ189" s="59">
        <f t="shared" si="146"/>
        <v>182.56192390367823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0.12662472889817877</v>
      </c>
      <c r="BQ189" s="21">
        <f>EXP(-LN(2)/25)*BQ188+(1-EXP(-LN(2)/25))/(LN(2)/25)*Calculateur!BL189*Calculateur!BN189*VLOOKUP('Données projet'!$B$11,Paramètres!$A$1:$I$89,3,0)*0.475*44/12</f>
        <v>0.20214189142159003</v>
      </c>
      <c r="BR189" s="21">
        <f>EXP(-LN(2)/2)*BR188+(1-EXP(-LN(2)/2))/(LN(2)/2)*BL189*BO189*VLOOKUP('Données projet'!$B$11,Paramètres!$A$1:$I$89,3,0)*0.475*44/12</f>
        <v>5.9456800786621136E-23</v>
      </c>
      <c r="BS189" s="22">
        <f t="shared" si="169"/>
        <v>0.32876662031976878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-5.3205440053716299E-14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123.60520571614535</v>
      </c>
      <c r="CE189" s="59">
        <f t="shared" si="148"/>
        <v>119.00926870519527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3.9485434435436575E-2</v>
      </c>
      <c r="CL189" s="21">
        <f>EXP(-LN(2)/25)*CL188+(1-EXP(-LN(2)/25))/(LN(2)/25)*Calculateur!CG189*Calculateur!CI189*VLOOKUP('Données projet'!$B$12,Paramètres!$A$1:$I$89,3,0)*0.475*44/12</f>
        <v>6.3198400263759058E-2</v>
      </c>
      <c r="CM189" s="21">
        <f>EXP(-LN(2)/2)*CM188+(1-EXP(-LN(2)/2))/(LN(2)/2)*CG189*CJ189*VLOOKUP('Données projet'!$B$12,Paramètres!$A$1:$I$89,3,0)*0.475*44/12</f>
        <v>2.0228571155942126E-23</v>
      </c>
      <c r="CN189" s="22">
        <f t="shared" si="172"/>
        <v>0.10268383469919563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2.9706370696658272E-14</v>
      </c>
      <c r="CV189" s="13">
        <f t="shared" si="173"/>
        <v>5.1399863782592153E-13</v>
      </c>
      <c r="CW189" s="20">
        <f t="shared" si="174"/>
        <v>9.4695288984349312E-13</v>
      </c>
      <c r="CX189" s="59">
        <f t="shared" si="122"/>
        <v>293.33333333333428</v>
      </c>
      <c r="CY189" s="59">
        <f ca="1">AVERAGE(OFFSET($CX$3,0,0,'Données projet'!$E$13+1,1))-AVERAGE(OFFSET($H$3,0,0,'Données projet'!$E$13+1,1))</f>
        <v>177.94336949486529</v>
      </c>
      <c r="CZ189" s="59">
        <f t="shared" si="150"/>
        <v>65.559373432574603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3.3992364478763198E-14</v>
      </c>
      <c r="DQ189" s="13">
        <f t="shared" si="176"/>
        <v>5.790027782444094E-13</v>
      </c>
      <c r="DR189" s="20">
        <f t="shared" si="177"/>
        <v>1.0676332069095257E-12</v>
      </c>
      <c r="DS189" s="59">
        <f t="shared" si="125"/>
        <v>293.33333333333439</v>
      </c>
      <c r="DT189" s="59">
        <f ca="1">AVERAGE(OFFSET($DS$3,0,0,'Données projet'!$E$14+1,1))-AVERAGE(OFFSET($H$3,0,0,'Données projet'!$E$14+1,1))</f>
        <v>165.39579887388538</v>
      </c>
      <c r="DU189" s="59">
        <f t="shared" si="152"/>
        <v>155.89639262545802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9.6439596396552474E-2</v>
      </c>
      <c r="EC189" s="21">
        <f>EXP(-LN(2)/2)*EC188+(1-EXP(-LN(2)/2))/(LN(2)/2)*DW189*DZ189*VLOOKUP('Données projet'!$B$14,Paramètres!$A$1:$I$89,3,0)*0.475*44/12</f>
        <v>4.5925185847388083E-23</v>
      </c>
      <c r="ED189" s="22">
        <f t="shared" si="178"/>
        <v>9.6439596396552474E-2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-1.1368683772161603E-12</v>
      </c>
      <c r="EK189" s="17">
        <f>EJ189*VLOOKUP('Données projet'!$B$15,Paramètres!$A$1:$I$89,3,0)*VLOOKUP('Données projet'!$B$15,Paramètres!$A$1:$I$89,5,0)</f>
        <v>-5.4683368944097316E-13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252.30925789500111</v>
      </c>
      <c r="EP189" s="59">
        <f t="shared" si="154"/>
        <v>213.96033794804805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0.21089989258822439</v>
      </c>
      <c r="EW189" s="21">
        <f>EXP(-LN(2)/25)*EW188+(1-EXP(-LN(2)/25))/(LN(2)/25)*Calculateur!ER189*Calculateur!ET189*VLOOKUP('Données projet'!$B$15,Paramètres!$A$1:$I$89,3,0)*0.475*44/12</f>
        <v>0.12209546074722268</v>
      </c>
      <c r="EX189" s="21">
        <f>EXP(-LN(2)/2)*EX188+(1-EXP(-LN(2)/2))/(LN(2)/2)*ER189*EU189*VLOOKUP('Données projet'!$B$15,Paramètres!$A$1:$I$89,3,0)*0.475*44/12</f>
        <v>4.7571284767474763E-23</v>
      </c>
      <c r="EY189" s="22">
        <f t="shared" si="181"/>
        <v>0.33299535333544705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-1.1368683772161603E-12</v>
      </c>
      <c r="FF189" s="17">
        <f>FE189*VLOOKUP('Données projet'!$B$16,Paramètres!$A$1:$I$89,3,0)*VLOOKUP('Données projet'!$B$16,Paramètres!$A$1:$I$89,5,0)</f>
        <v>-5.4683368944097316E-13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252.30925789500111</v>
      </c>
      <c r="FK189" s="59">
        <f t="shared" si="156"/>
        <v>213.96033794804805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0.21089989258822439</v>
      </c>
      <c r="FR189" s="21">
        <f>EXP(-LN(2)/25)*FR188+(1-EXP(-LN(2)/25))/(LN(2)/25)*Calculateur!FM189*Calculateur!FO189*VLOOKUP('Données projet'!$B$16,Paramètres!$A$1:$I$89,3,0)*0.475*44/12</f>
        <v>0.12209546074722268</v>
      </c>
      <c r="FS189" s="21">
        <f>EXP(-LN(2)/2)*FS188+(1-EXP(-LN(2)/2))/(LN(2)/2)*FM189*FP189*VLOOKUP('Données projet'!$B$16,Paramètres!$A$1:$I$89,3,0)*0.475*44/12</f>
        <v>4.7571284767474763E-23</v>
      </c>
      <c r="FT189" s="22">
        <f t="shared" si="184"/>
        <v>0.33299535333544705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117.54638373164624</v>
      </c>
      <c r="GF189" s="59">
        <f t="shared" si="158"/>
        <v>133.0740262536583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0.10071868939440207</v>
      </c>
      <c r="GM189" s="21">
        <f>EXP(-LN(2)/25)*GM188+(1-EXP(-LN(2)/25))/(LN(2)/25)*Calculateur!GH189*Calculateur!GJ189*VLOOKUP('Données projet'!$B$17,Paramètres!$A$1:$I$89,3,0)*0.475*44/12</f>
        <v>0.11451686848872211</v>
      </c>
      <c r="GN189" s="21">
        <f>EXP(-LN(2)/2)*GN188+(1-EXP(-LN(2)/2))/(LN(2)/2)*GH189*GK189*VLOOKUP('Données projet'!$B$17,Paramètres!$A$1:$I$89,3,0)*0.475*44/12</f>
        <v>1.33855114847875E-23</v>
      </c>
      <c r="GO189" s="21">
        <f t="shared" si="187"/>
        <v>0.21523555788312418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2.8421709430404007E-14</v>
      </c>
      <c r="GV189" s="17">
        <f>GU189*VLOOKUP('Données projet'!$B$18,Paramètres!$A$1:$I$89,3,0)*VLOOKUP('Données projet'!$B$18,Paramètres!$A$1:$I$89,5,0)</f>
        <v>1.3567387213697657E-14</v>
      </c>
      <c r="GW189" s="13">
        <f t="shared" si="188"/>
        <v>2.5717320947985821E-13</v>
      </c>
      <c r="GX189" s="20">
        <f t="shared" si="189"/>
        <v>4.7153987257460977E-13</v>
      </c>
      <c r="GY189" s="59">
        <f t="shared" si="137"/>
        <v>293.33333333333377</v>
      </c>
      <c r="GZ189" s="59">
        <f ca="1">AVERAGE(OFFSET($GY$3,0,0,'Données projet'!$E$18+1,1))-AVERAGE(OFFSET($H$3,0,0,'Données projet'!$E$18+1,1))</f>
        <v>43.147469606759159</v>
      </c>
      <c r="HA189" s="59">
        <f t="shared" si="160"/>
        <v>147.46995307968473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1.6417866709119242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1.823699844253106E-24</v>
      </c>
      <c r="HJ189" s="22">
        <f t="shared" si="190"/>
        <v>1.6417866709119242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2.8421709430404007E-14</v>
      </c>
      <c r="O190" s="13">
        <f>N190*VLOOKUP('Données projet'!$B$9,Paramètres!$A$1:$I$89,3,0)*VLOOKUP('Données projet'!$B$9,Paramètres!$A$1:$I$89,5,0)</f>
        <v>2.5715962692629544E-14</v>
      </c>
      <c r="P190" s="13">
        <f t="shared" si="141"/>
        <v>4.5248818890525812E-13</v>
      </c>
      <c r="Q190" s="20">
        <f t="shared" si="162"/>
        <v>8.3287223069965432E-13</v>
      </c>
      <c r="R190" s="59">
        <f t="shared" si="109"/>
        <v>293.33333333333417</v>
      </c>
      <c r="S190" s="59">
        <f ca="1">AVERAGE(OFFSET($R$3,0,0,'Données projet'!$E$9+1,1))-AVERAGE(OFFSET($H$3,0,0,'Données projet'!$E$9+1,1))</f>
        <v>138.8931001150624</v>
      </c>
      <c r="T190" s="59">
        <f t="shared" si="142"/>
        <v>48.964659354096625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-7.4487616075202836E-14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191.94797389630673</v>
      </c>
      <c r="AO190" s="59">
        <f t="shared" si="144"/>
        <v>273.52540822767878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0.18078017207277575</v>
      </c>
      <c r="AW190" s="21">
        <f>EXP(-LN(2)/2)*AW189+(1-EXP(-LN(2)/2))/(LN(2)/2)*AQ190*AT190*VLOOKUP('Données projet'!$B$10,Paramètres!$A$1:$I$89,3,0)*0.475*44/12</f>
        <v>5.4286351961699157E-23</v>
      </c>
      <c r="AX190" s="21">
        <f t="shared" si="166"/>
        <v>0.29569744964142808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3.5470293369144201E-14</v>
      </c>
      <c r="BF190" s="13">
        <f t="shared" si="167"/>
        <v>6.0119115841663204E-13</v>
      </c>
      <c r="BG190" s="20">
        <f t="shared" si="168"/>
        <v>1.1088520285268936E-12</v>
      </c>
      <c r="BH190" s="59">
        <f t="shared" si="116"/>
        <v>293.33333333333445</v>
      </c>
      <c r="BI190" s="59">
        <f ca="1">AVERAGE(OFFSET($BH$3,0,0,'Données projet'!$E$11+1,1))-AVERAGE(OFFSET($H$3,0,0,'Données projet'!$E$11+1,1))</f>
        <v>162.91481796710048</v>
      </c>
      <c r="BJ190" s="59">
        <f t="shared" si="146"/>
        <v>182.56192390367823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0.12414169519794395</v>
      </c>
      <c r="BQ190" s="21">
        <f>EXP(-LN(2)/25)*BQ189+(1-EXP(-LN(2)/25))/(LN(2)/25)*Calculateur!BL190*Calculateur!BN190*VLOOKUP('Données projet'!$B$11,Paramètres!$A$1:$I$89,3,0)*0.475*44/12</f>
        <v>0.19661431077048658</v>
      </c>
      <c r="BR190" s="21">
        <f>EXP(-LN(2)/2)*BR189+(1-EXP(-LN(2)/2))/(LN(2)/2)*BL190*BO190*VLOOKUP('Données projet'!$B$11,Paramètres!$A$1:$I$89,3,0)*0.475*44/12</f>
        <v>4.2042307023877459E-23</v>
      </c>
      <c r="BS190" s="22">
        <f t="shared" si="169"/>
        <v>0.32075600596843051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-5.3205440053716299E-14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123.60520571614535</v>
      </c>
      <c r="CE190" s="59">
        <f t="shared" si="148"/>
        <v>119.00926870519527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3.8711149149894597E-2</v>
      </c>
      <c r="CL190" s="21">
        <f>EXP(-LN(2)/25)*CL189+(1-EXP(-LN(2)/25))/(LN(2)/25)*Calculateur!CG190*Calculateur!CI190*VLOOKUP('Données projet'!$B$12,Paramètres!$A$1:$I$89,3,0)*0.475*44/12</f>
        <v>6.1470236685087137E-2</v>
      </c>
      <c r="CM190" s="21">
        <f>EXP(-LN(2)/2)*CM189+(1-EXP(-LN(2)/2))/(LN(2)/2)*CG190*CJ190*VLOOKUP('Données projet'!$B$12,Paramètres!$A$1:$I$89,3,0)*0.475*44/12</f>
        <v>1.4303759838081276E-23</v>
      </c>
      <c r="CN190" s="22">
        <f t="shared" si="172"/>
        <v>0.10018138583498173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2.9706370696658272E-14</v>
      </c>
      <c r="CV190" s="13">
        <f t="shared" si="173"/>
        <v>5.1399863782592153E-13</v>
      </c>
      <c r="CW190" s="20">
        <f t="shared" si="174"/>
        <v>9.4695288984349312E-13</v>
      </c>
      <c r="CX190" s="59">
        <f t="shared" si="122"/>
        <v>293.33333333333428</v>
      </c>
      <c r="CY190" s="59">
        <f ca="1">AVERAGE(OFFSET($CX$3,0,0,'Données projet'!$E$13+1,1))-AVERAGE(OFFSET($H$3,0,0,'Données projet'!$E$13+1,1))</f>
        <v>177.94336949486529</v>
      </c>
      <c r="CZ190" s="59">
        <f t="shared" si="150"/>
        <v>65.559373432574603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3.3992364478763198E-14</v>
      </c>
      <c r="DQ190" s="13">
        <f t="shared" si="176"/>
        <v>5.790027782444094E-13</v>
      </c>
      <c r="DR190" s="20">
        <f t="shared" si="177"/>
        <v>1.0676332069095257E-12</v>
      </c>
      <c r="DS190" s="59">
        <f t="shared" si="125"/>
        <v>293.33333333333439</v>
      </c>
      <c r="DT190" s="59">
        <f ca="1">AVERAGE(OFFSET($DS$3,0,0,'Données projet'!$E$14+1,1))-AVERAGE(OFFSET($H$3,0,0,'Données projet'!$E$14+1,1))</f>
        <v>165.39579887388538</v>
      </c>
      <c r="DU190" s="59">
        <f t="shared" si="152"/>
        <v>155.89639262545802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9.3802450561550788E-2</v>
      </c>
      <c r="EC190" s="21">
        <f>EXP(-LN(2)/2)*EC189+(1-EXP(-LN(2)/2))/(LN(2)/2)*DW190*DZ190*VLOOKUP('Données projet'!$B$14,Paramètres!$A$1:$I$89,3,0)*0.475*44/12</f>
        <v>3.2474010339940574E-23</v>
      </c>
      <c r="ED190" s="22">
        <f t="shared" si="178"/>
        <v>9.3802450561550788E-2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-1.1368683772161603E-12</v>
      </c>
      <c r="EK190" s="17">
        <f>EJ190*VLOOKUP('Données projet'!$B$15,Paramètres!$A$1:$I$89,3,0)*VLOOKUP('Données projet'!$B$15,Paramètres!$A$1:$I$89,5,0)</f>
        <v>-5.4683368944097316E-13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252.30925789500111</v>
      </c>
      <c r="EP190" s="59">
        <f t="shared" si="154"/>
        <v>213.96033794804805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0.20676427433080202</v>
      </c>
      <c r="EW190" s="21">
        <f>EXP(-LN(2)/25)*EW189+(1-EXP(-LN(2)/25))/(LN(2)/25)*Calculateur!ER190*Calculateur!ET190*VLOOKUP('Données projet'!$B$15,Paramètres!$A$1:$I$89,3,0)*0.475*44/12</f>
        <v>0.11875675395236865</v>
      </c>
      <c r="EX190" s="21">
        <f>EXP(-LN(2)/2)*EX189+(1-EXP(-LN(2)/2))/(LN(2)/2)*ER190*EU190*VLOOKUP('Données projet'!$B$15,Paramètres!$A$1:$I$89,3,0)*0.475*44/12</f>
        <v>3.3637978048837718E-23</v>
      </c>
      <c r="EY190" s="22">
        <f t="shared" si="181"/>
        <v>0.32552102828317064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-1.1368683772161603E-12</v>
      </c>
      <c r="FF190" s="17">
        <f>FE190*VLOOKUP('Données projet'!$B$16,Paramètres!$A$1:$I$89,3,0)*VLOOKUP('Données projet'!$B$16,Paramètres!$A$1:$I$89,5,0)</f>
        <v>-5.4683368944097316E-13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252.30925789500111</v>
      </c>
      <c r="FK190" s="59">
        <f t="shared" si="156"/>
        <v>213.96033794804805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0.20676427433080202</v>
      </c>
      <c r="FR190" s="21">
        <f>EXP(-LN(2)/25)*FR189+(1-EXP(-LN(2)/25))/(LN(2)/25)*Calculateur!FM190*Calculateur!FO190*VLOOKUP('Données projet'!$B$16,Paramètres!$A$1:$I$89,3,0)*0.475*44/12</f>
        <v>0.11875675395236865</v>
      </c>
      <c r="FS190" s="21">
        <f>EXP(-LN(2)/2)*FS189+(1-EXP(-LN(2)/2))/(LN(2)/2)*FM190*FP190*VLOOKUP('Données projet'!$B$16,Paramètres!$A$1:$I$89,3,0)*0.475*44/12</f>
        <v>3.3637978048837718E-23</v>
      </c>
      <c r="FT190" s="22">
        <f t="shared" si="184"/>
        <v>0.32552102828317064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117.54638373164624</v>
      </c>
      <c r="GF190" s="59">
        <f t="shared" si="158"/>
        <v>133.0740262536583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9.8743657327712439E-2</v>
      </c>
      <c r="GM190" s="21">
        <f>EXP(-LN(2)/25)*GM189+(1-EXP(-LN(2)/25))/(LN(2)/25)*Calculateur!GH190*Calculateur!GJ190*VLOOKUP('Données projet'!$B$17,Paramètres!$A$1:$I$89,3,0)*0.475*44/12</f>
        <v>0.11138539869771763</v>
      </c>
      <c r="GN190" s="21">
        <f>EXP(-LN(2)/2)*GN189+(1-EXP(-LN(2)/2))/(LN(2)/2)*GH190*GK190*VLOOKUP('Données projet'!$B$17,Paramètres!$A$1:$I$89,3,0)*0.475*44/12</f>
        <v>9.4649859405436539E-24</v>
      </c>
      <c r="GO190" s="21">
        <f t="shared" si="187"/>
        <v>0.21012905602543008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2.8421709430404007E-14</v>
      </c>
      <c r="GV190" s="17">
        <f>GU190*VLOOKUP('Données projet'!$B$18,Paramètres!$A$1:$I$89,3,0)*VLOOKUP('Données projet'!$B$18,Paramètres!$A$1:$I$89,5,0)</f>
        <v>1.3567387213697657E-14</v>
      </c>
      <c r="GW190" s="13">
        <f t="shared" si="188"/>
        <v>2.5717320947985821E-13</v>
      </c>
      <c r="GX190" s="20">
        <f t="shared" si="189"/>
        <v>4.7153987257460977E-13</v>
      </c>
      <c r="GY190" s="59">
        <f t="shared" si="137"/>
        <v>293.33333333333377</v>
      </c>
      <c r="GZ190" s="59">
        <f ca="1">AVERAGE(OFFSET($GY$3,0,0,'Données projet'!$E$18+1,1))-AVERAGE(OFFSET($H$3,0,0,'Données projet'!$E$18+1,1))</f>
        <v>43.147469606759159</v>
      </c>
      <c r="HA190" s="59">
        <f t="shared" si="160"/>
        <v>147.46995307968473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1.6095922356863315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1.2895505267202219E-24</v>
      </c>
      <c r="HJ190" s="22">
        <f t="shared" si="190"/>
        <v>1.6095922356863315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2.8421709430404007E-14</v>
      </c>
      <c r="O191" s="13">
        <f>N191*VLOOKUP('Données projet'!$B$9,Paramètres!$A$1:$I$89,3,0)*VLOOKUP('Données projet'!$B$9,Paramètres!$A$1:$I$89,5,0)</f>
        <v>2.5715962692629544E-14</v>
      </c>
      <c r="P191" s="13">
        <f t="shared" si="141"/>
        <v>4.5248818890525812E-13</v>
      </c>
      <c r="Q191" s="20">
        <f t="shared" si="162"/>
        <v>8.3287223069965432E-13</v>
      </c>
      <c r="R191" s="59">
        <f t="shared" si="109"/>
        <v>293.33333333333417</v>
      </c>
      <c r="S191" s="59">
        <f ca="1">AVERAGE(OFFSET($R$3,0,0,'Données projet'!$E$9+1,1))-AVERAGE(OFFSET($H$3,0,0,'Données projet'!$E$9+1,1))</f>
        <v>138.8931001150624</v>
      </c>
      <c r="T191" s="59">
        <f t="shared" si="142"/>
        <v>48.964659354096625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-7.4487616075202836E-14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191.94797389630673</v>
      </c>
      <c r="AO191" s="59">
        <f t="shared" si="144"/>
        <v>273.52540822767878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0.17583672876062961</v>
      </c>
      <c r="AW191" s="21">
        <f>EXP(-LN(2)/2)*AW190+(1-EXP(-LN(2)/2))/(LN(2)/2)*AQ191*AT191*VLOOKUP('Données projet'!$B$10,Paramètres!$A$1:$I$89,3,0)*0.475*44/12</f>
        <v>3.8386247597997112E-23</v>
      </c>
      <c r="AX191" s="21">
        <f t="shared" si="166"/>
        <v>0.28850054860877894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3.5470293369144201E-14</v>
      </c>
      <c r="BF191" s="13">
        <f t="shared" si="167"/>
        <v>6.0119115841663204E-13</v>
      </c>
      <c r="BG191" s="20">
        <f t="shared" si="168"/>
        <v>1.1088520285268936E-12</v>
      </c>
      <c r="BH191" s="59">
        <f t="shared" si="116"/>
        <v>293.33333333333445</v>
      </c>
      <c r="BI191" s="59">
        <f ca="1">AVERAGE(OFFSET($BH$3,0,0,'Données projet'!$E$11+1,1))-AVERAGE(OFFSET($H$3,0,0,'Données projet'!$E$11+1,1))</f>
        <v>162.91481796710048</v>
      </c>
      <c r="BJ191" s="59">
        <f t="shared" si="146"/>
        <v>182.56192390367823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0.12170735227406972</v>
      </c>
      <c r="BQ191" s="21">
        <f>EXP(-LN(2)/25)*BQ190+(1-EXP(-LN(2)/25))/(LN(2)/25)*Calculateur!BL191*Calculateur!BN191*VLOOKUP('Données projet'!$B$11,Paramètres!$A$1:$I$89,3,0)*0.475*44/12</f>
        <v>0.19123788210297038</v>
      </c>
      <c r="BR191" s="21">
        <f>EXP(-LN(2)/2)*BR190+(1-EXP(-LN(2)/2))/(LN(2)/2)*BL191*BO191*VLOOKUP('Données projet'!$B$11,Paramètres!$A$1:$I$89,3,0)*0.475*44/12</f>
        <v>2.9728400393310568E-23</v>
      </c>
      <c r="BS191" s="22">
        <f t="shared" si="169"/>
        <v>0.31294523437704008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-5.3205440053716299E-14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123.60520571614535</v>
      </c>
      <c r="CE191" s="59">
        <f t="shared" si="148"/>
        <v>119.00926870519527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3.7952047126534709E-2</v>
      </c>
      <c r="CL191" s="21">
        <f>EXP(-LN(2)/25)*CL190+(1-EXP(-LN(2)/25))/(LN(2)/25)*Calculateur!CG191*Calculateur!CI191*VLOOKUP('Données projet'!$B$12,Paramètres!$A$1:$I$89,3,0)*0.475*44/12</f>
        <v>5.9789329830354176E-2</v>
      </c>
      <c r="CM191" s="21">
        <f>EXP(-LN(2)/2)*CM190+(1-EXP(-LN(2)/2))/(LN(2)/2)*CG191*CJ191*VLOOKUP('Données projet'!$B$12,Paramètres!$A$1:$I$89,3,0)*0.475*44/12</f>
        <v>1.0114285577971063E-23</v>
      </c>
      <c r="CN191" s="22">
        <f t="shared" si="172"/>
        <v>9.7741376956888892E-2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2.9706370696658272E-14</v>
      </c>
      <c r="CV191" s="13">
        <f t="shared" si="173"/>
        <v>5.1399863782592153E-13</v>
      </c>
      <c r="CW191" s="20">
        <f t="shared" si="174"/>
        <v>9.4695288984349312E-13</v>
      </c>
      <c r="CX191" s="59">
        <f t="shared" si="122"/>
        <v>293.33333333333428</v>
      </c>
      <c r="CY191" s="59">
        <f ca="1">AVERAGE(OFFSET($CX$3,0,0,'Données projet'!$E$13+1,1))-AVERAGE(OFFSET($H$3,0,0,'Données projet'!$E$13+1,1))</f>
        <v>177.94336949486529</v>
      </c>
      <c r="CZ191" s="59">
        <f t="shared" si="150"/>
        <v>65.559373432574603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3.3992364478763198E-14</v>
      </c>
      <c r="DQ191" s="13">
        <f t="shared" si="176"/>
        <v>5.790027782444094E-13</v>
      </c>
      <c r="DR191" s="20">
        <f t="shared" si="177"/>
        <v>1.0676332069095257E-12</v>
      </c>
      <c r="DS191" s="59">
        <f t="shared" si="125"/>
        <v>293.33333333333439</v>
      </c>
      <c r="DT191" s="59">
        <f ca="1">AVERAGE(OFFSET($DS$3,0,0,'Données projet'!$E$14+1,1))-AVERAGE(OFFSET($H$3,0,0,'Données projet'!$E$14+1,1))</f>
        <v>165.39579887388538</v>
      </c>
      <c r="DU191" s="59">
        <f t="shared" si="152"/>
        <v>155.89639262545802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9.1237417618088693E-2</v>
      </c>
      <c r="EC191" s="21">
        <f>EXP(-LN(2)/2)*EC190+(1-EXP(-LN(2)/2))/(LN(2)/2)*DW191*DZ191*VLOOKUP('Données projet'!$B$14,Paramètres!$A$1:$I$89,3,0)*0.475*44/12</f>
        <v>2.2962592923694042E-23</v>
      </c>
      <c r="ED191" s="22">
        <f t="shared" si="178"/>
        <v>9.1237417618088693E-2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-1.1368683772161603E-12</v>
      </c>
      <c r="EK191" s="17">
        <f>EJ191*VLOOKUP('Données projet'!$B$15,Paramètres!$A$1:$I$89,3,0)*VLOOKUP('Données projet'!$B$15,Paramètres!$A$1:$I$89,5,0)</f>
        <v>-5.4683368944097316E-13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252.30925789500111</v>
      </c>
      <c r="EP191" s="59">
        <f t="shared" si="154"/>
        <v>213.96033794804805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0.20270975302492963</v>
      </c>
      <c r="EW191" s="21">
        <f>EXP(-LN(2)/25)*EW190+(1-EXP(-LN(2)/25))/(LN(2)/25)*Calculateur!ER191*Calculateur!ET191*VLOOKUP('Données projet'!$B$15,Paramètres!$A$1:$I$89,3,0)*0.475*44/12</f>
        <v>0.11550934427039486</v>
      </c>
      <c r="EX191" s="21">
        <f>EXP(-LN(2)/2)*EX190+(1-EXP(-LN(2)/2))/(LN(2)/2)*ER191*EU191*VLOOKUP('Données projet'!$B$15,Paramètres!$A$1:$I$89,3,0)*0.475*44/12</f>
        <v>2.3785642383737381E-23</v>
      </c>
      <c r="EY191" s="22">
        <f t="shared" si="181"/>
        <v>0.31821909729532449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-1.1368683772161603E-12</v>
      </c>
      <c r="FF191" s="17">
        <f>FE191*VLOOKUP('Données projet'!$B$16,Paramètres!$A$1:$I$89,3,0)*VLOOKUP('Données projet'!$B$16,Paramètres!$A$1:$I$89,5,0)</f>
        <v>-5.4683368944097316E-13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252.30925789500111</v>
      </c>
      <c r="FK191" s="59">
        <f t="shared" si="156"/>
        <v>213.96033794804805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0.20270975302492963</v>
      </c>
      <c r="FR191" s="21">
        <f>EXP(-LN(2)/25)*FR190+(1-EXP(-LN(2)/25))/(LN(2)/25)*Calculateur!FM191*Calculateur!FO191*VLOOKUP('Données projet'!$B$16,Paramètres!$A$1:$I$89,3,0)*0.475*44/12</f>
        <v>0.11550934427039486</v>
      </c>
      <c r="FS191" s="21">
        <f>EXP(-LN(2)/2)*FS190+(1-EXP(-LN(2)/2))/(LN(2)/2)*FM191*FP191*VLOOKUP('Données projet'!$B$16,Paramètres!$A$1:$I$89,3,0)*0.475*44/12</f>
        <v>2.3785642383737381E-23</v>
      </c>
      <c r="FT191" s="22">
        <f t="shared" si="184"/>
        <v>0.31821909729532449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117.54638373164624</v>
      </c>
      <c r="GF191" s="59">
        <f t="shared" si="158"/>
        <v>133.0740262536583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9.6807354435199972E-2</v>
      </c>
      <c r="GM191" s="21">
        <f>EXP(-LN(2)/25)*GM190+(1-EXP(-LN(2)/25))/(LN(2)/25)*Calculateur!GH191*Calculateur!GJ191*VLOOKUP('Données projet'!$B$17,Paramètres!$A$1:$I$89,3,0)*0.475*44/12</f>
        <v>0.108339559112825</v>
      </c>
      <c r="GN191" s="21">
        <f>EXP(-LN(2)/2)*GN190+(1-EXP(-LN(2)/2))/(LN(2)/2)*GH191*GK191*VLOOKUP('Données projet'!$B$17,Paramètres!$A$1:$I$89,3,0)*0.475*44/12</f>
        <v>6.6927557423937502E-24</v>
      </c>
      <c r="GO191" s="21">
        <f t="shared" si="187"/>
        <v>0.20514691354802497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2.8421709430404007E-14</v>
      </c>
      <c r="GV191" s="17">
        <f>GU191*VLOOKUP('Données projet'!$B$18,Paramètres!$A$1:$I$89,3,0)*VLOOKUP('Données projet'!$B$18,Paramètres!$A$1:$I$89,5,0)</f>
        <v>1.3567387213697657E-14</v>
      </c>
      <c r="GW191" s="13">
        <f t="shared" si="188"/>
        <v>2.5717320947985821E-13</v>
      </c>
      <c r="GX191" s="20">
        <f t="shared" si="189"/>
        <v>4.7153987257460977E-13</v>
      </c>
      <c r="GY191" s="59">
        <f t="shared" si="137"/>
        <v>293.33333333333377</v>
      </c>
      <c r="GZ191" s="59">
        <f ca="1">AVERAGE(OFFSET($GY$3,0,0,'Données projet'!$E$18+1,1))-AVERAGE(OFFSET($H$3,0,0,'Données projet'!$E$18+1,1))</f>
        <v>43.147469606759159</v>
      </c>
      <c r="HA191" s="59">
        <f t="shared" si="160"/>
        <v>147.46995307968473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1.578029113698846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9.1184992212655301E-25</v>
      </c>
      <c r="HJ191" s="22">
        <f t="shared" si="190"/>
        <v>1.578029113698846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2.8421709430404007E-14</v>
      </c>
      <c r="O192" s="13">
        <f>N192*VLOOKUP('Données projet'!$B$9,Paramètres!$A$1:$I$89,3,0)*VLOOKUP('Données projet'!$B$9,Paramètres!$A$1:$I$89,5,0)</f>
        <v>2.5715962692629544E-14</v>
      </c>
      <c r="P192" s="13">
        <f t="shared" si="141"/>
        <v>4.5248818890525812E-13</v>
      </c>
      <c r="Q192" s="20">
        <f t="shared" si="162"/>
        <v>8.3287223069965432E-13</v>
      </c>
      <c r="R192" s="59">
        <f t="shared" si="109"/>
        <v>293.33333333333417</v>
      </c>
      <c r="S192" s="59">
        <f ca="1">AVERAGE(OFFSET($R$3,0,0,'Données projet'!$E$9+1,1))-AVERAGE(OFFSET($H$3,0,0,'Données projet'!$E$9+1,1))</f>
        <v>138.8931001150624</v>
      </c>
      <c r="T192" s="59">
        <f t="shared" si="142"/>
        <v>48.964659354096625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-7.4487616075202836E-14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191.94797389630673</v>
      </c>
      <c r="AO192" s="59">
        <f t="shared" si="144"/>
        <v>273.52540822767878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0.17102846416581852</v>
      </c>
      <c r="AW192" s="21">
        <f>EXP(-LN(2)/2)*AW191+(1-EXP(-LN(2)/2))/(LN(2)/2)*AQ192*AT192*VLOOKUP('Données projet'!$B$10,Paramètres!$A$1:$I$89,3,0)*0.475*44/12</f>
        <v>2.7143175980849578E-23</v>
      </c>
      <c r="AX192" s="21">
        <f t="shared" si="166"/>
        <v>0.28148301522489039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3.5470293369144201E-14</v>
      </c>
      <c r="BF192" s="13">
        <f t="shared" si="167"/>
        <v>6.0119115841663204E-13</v>
      </c>
      <c r="BG192" s="20">
        <f t="shared" si="168"/>
        <v>1.1088520285268936E-12</v>
      </c>
      <c r="BH192" s="59">
        <f t="shared" si="116"/>
        <v>293.33333333333445</v>
      </c>
      <c r="BI192" s="59">
        <f ca="1">AVERAGE(OFFSET($BH$3,0,0,'Données projet'!$E$11+1,1))-AVERAGE(OFFSET($H$3,0,0,'Données projet'!$E$11+1,1))</f>
        <v>162.91481796710048</v>
      </c>
      <c r="BJ192" s="59">
        <f t="shared" si="146"/>
        <v>182.56192390367823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0.11932074533013008</v>
      </c>
      <c r="BQ192" s="21">
        <f>EXP(-LN(2)/25)*BQ191+(1-EXP(-LN(2)/25))/(LN(2)/25)*Calculateur!BL192*Calculateur!BN192*VLOOKUP('Données projet'!$B$11,Paramètres!$A$1:$I$89,3,0)*0.475*44/12</f>
        <v>0.18600847216010152</v>
      </c>
      <c r="BR192" s="21">
        <f>EXP(-LN(2)/2)*BR191+(1-EXP(-LN(2)/2))/(LN(2)/2)*BL192*BO192*VLOOKUP('Données projet'!$B$11,Paramètres!$A$1:$I$89,3,0)*0.475*44/12</f>
        <v>2.102115351193873E-23</v>
      </c>
      <c r="BS192" s="22">
        <f t="shared" si="169"/>
        <v>0.30532921749023162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-5.3205440053716299E-14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123.60520571614535</v>
      </c>
      <c r="CE192" s="59">
        <f t="shared" si="148"/>
        <v>119.00926870519527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3.7207830630846386E-2</v>
      </c>
      <c r="CL192" s="21">
        <f>EXP(-LN(2)/25)*CL191+(1-EXP(-LN(2)/25))/(LN(2)/25)*Calculateur!CG192*Calculateur!CI192*VLOOKUP('Données projet'!$B$12,Paramètres!$A$1:$I$89,3,0)*0.475*44/12</f>
        <v>5.8154387461958938E-2</v>
      </c>
      <c r="CM192" s="21">
        <f>EXP(-LN(2)/2)*CM191+(1-EXP(-LN(2)/2))/(LN(2)/2)*CG192*CJ192*VLOOKUP('Données projet'!$B$12,Paramètres!$A$1:$I$89,3,0)*0.475*44/12</f>
        <v>7.1518799190406378E-24</v>
      </c>
      <c r="CN192" s="22">
        <f t="shared" si="172"/>
        <v>9.5362218092805318E-2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2.9706370696658272E-14</v>
      </c>
      <c r="CV192" s="13">
        <f t="shared" si="173"/>
        <v>5.1399863782592153E-13</v>
      </c>
      <c r="CW192" s="20">
        <f t="shared" si="174"/>
        <v>9.4695288984349312E-13</v>
      </c>
      <c r="CX192" s="59">
        <f t="shared" si="122"/>
        <v>293.33333333333428</v>
      </c>
      <c r="CY192" s="59">
        <f ca="1">AVERAGE(OFFSET($CX$3,0,0,'Données projet'!$E$13+1,1))-AVERAGE(OFFSET($H$3,0,0,'Données projet'!$E$13+1,1))</f>
        <v>177.94336949486529</v>
      </c>
      <c r="CZ192" s="59">
        <f t="shared" si="150"/>
        <v>65.559373432574603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3.3992364478763198E-14</v>
      </c>
      <c r="DQ192" s="13">
        <f t="shared" si="176"/>
        <v>5.790027782444094E-13</v>
      </c>
      <c r="DR192" s="20">
        <f t="shared" si="177"/>
        <v>1.0676332069095257E-12</v>
      </c>
      <c r="DS192" s="59">
        <f t="shared" si="125"/>
        <v>293.33333333333439</v>
      </c>
      <c r="DT192" s="59">
        <f ca="1">AVERAGE(OFFSET($DS$3,0,0,'Données projet'!$E$14+1,1))-AVERAGE(OFFSET($H$3,0,0,'Données projet'!$E$14+1,1))</f>
        <v>165.39579887388538</v>
      </c>
      <c r="DU192" s="59">
        <f t="shared" si="152"/>
        <v>155.89639262545802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8.8742525635354785E-2</v>
      </c>
      <c r="EC192" s="21">
        <f>EXP(-LN(2)/2)*EC191+(1-EXP(-LN(2)/2))/(LN(2)/2)*DW192*DZ192*VLOOKUP('Données projet'!$B$14,Paramètres!$A$1:$I$89,3,0)*0.475*44/12</f>
        <v>1.6237005169970287E-23</v>
      </c>
      <c r="ED192" s="22">
        <f t="shared" si="178"/>
        <v>8.8742525635354785E-2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-1.1368683772161603E-12</v>
      </c>
      <c r="EK192" s="17">
        <f>EJ192*VLOOKUP('Données projet'!$B$15,Paramètres!$A$1:$I$89,3,0)*VLOOKUP('Données projet'!$B$15,Paramètres!$A$1:$I$89,5,0)</f>
        <v>-5.4683368944097316E-13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252.30925789500111</v>
      </c>
      <c r="EP192" s="59">
        <f t="shared" si="154"/>
        <v>213.96033794804805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0.19873473840885161</v>
      </c>
      <c r="EW192" s="21">
        <f>EXP(-LN(2)/25)*EW191+(1-EXP(-LN(2)/25))/(LN(2)/25)*Calculateur!ER192*Calculateur!ET192*VLOOKUP('Données projet'!$B$15,Paramètres!$A$1:$I$89,3,0)*0.475*44/12</f>
        <v>0.11235073517694849</v>
      </c>
      <c r="EX192" s="21">
        <f>EXP(-LN(2)/2)*EX191+(1-EXP(-LN(2)/2))/(LN(2)/2)*ER192*EU192*VLOOKUP('Données projet'!$B$15,Paramètres!$A$1:$I$89,3,0)*0.475*44/12</f>
        <v>1.6818989024418859E-23</v>
      </c>
      <c r="EY192" s="22">
        <f t="shared" si="181"/>
        <v>0.31108547358580008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-1.1368683772161603E-12</v>
      </c>
      <c r="FF192" s="17">
        <f>FE192*VLOOKUP('Données projet'!$B$16,Paramètres!$A$1:$I$89,3,0)*VLOOKUP('Données projet'!$B$16,Paramètres!$A$1:$I$89,5,0)</f>
        <v>-5.4683368944097316E-13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252.30925789500111</v>
      </c>
      <c r="FK192" s="59">
        <f t="shared" si="156"/>
        <v>213.96033794804805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0.19873473840885161</v>
      </c>
      <c r="FR192" s="21">
        <f>EXP(-LN(2)/25)*FR191+(1-EXP(-LN(2)/25))/(LN(2)/25)*Calculateur!FM192*Calculateur!FO192*VLOOKUP('Données projet'!$B$16,Paramètres!$A$1:$I$89,3,0)*0.475*44/12</f>
        <v>0.11235073517694849</v>
      </c>
      <c r="FS192" s="21">
        <f>EXP(-LN(2)/2)*FS191+(1-EXP(-LN(2)/2))/(LN(2)/2)*FM192*FP192*VLOOKUP('Données projet'!$B$16,Paramètres!$A$1:$I$89,3,0)*0.475*44/12</f>
        <v>1.6818989024418859E-23</v>
      </c>
      <c r="FT192" s="22">
        <f t="shared" si="184"/>
        <v>0.31108547358580008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117.54638373164624</v>
      </c>
      <c r="GF192" s="59">
        <f t="shared" si="158"/>
        <v>133.0740262536583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9.4909021261381538E-2</v>
      </c>
      <c r="GM192" s="21">
        <f>EXP(-LN(2)/25)*GM191+(1-EXP(-LN(2)/25))/(LN(2)/25)*Calculateur!GH192*Calculateur!GJ192*VLOOKUP('Données projet'!$B$17,Paramètres!$A$1:$I$89,3,0)*0.475*44/12</f>
        <v>0.105377008171555</v>
      </c>
      <c r="GN192" s="21">
        <f>EXP(-LN(2)/2)*GN191+(1-EXP(-LN(2)/2))/(LN(2)/2)*GH192*GK192*VLOOKUP('Données projet'!$B$17,Paramètres!$A$1:$I$89,3,0)*0.475*44/12</f>
        <v>4.732492970271827E-24</v>
      </c>
      <c r="GO192" s="21">
        <f t="shared" si="187"/>
        <v>0.20028602943293655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2.8421709430404007E-14</v>
      </c>
      <c r="GV192" s="17">
        <f>GU192*VLOOKUP('Données projet'!$B$18,Paramètres!$A$1:$I$89,3,0)*VLOOKUP('Données projet'!$B$18,Paramètres!$A$1:$I$89,5,0)</f>
        <v>1.3567387213697657E-14</v>
      </c>
      <c r="GW192" s="13">
        <f t="shared" si="188"/>
        <v>2.5717320947985821E-13</v>
      </c>
      <c r="GX192" s="20">
        <f t="shared" si="189"/>
        <v>4.7153987257460977E-13</v>
      </c>
      <c r="GY192" s="59">
        <f t="shared" si="137"/>
        <v>293.33333333333377</v>
      </c>
      <c r="GZ192" s="59">
        <f ca="1">AVERAGE(OFFSET($GY$3,0,0,'Données projet'!$E$18+1,1))-AVERAGE(OFFSET($H$3,0,0,'Données projet'!$E$18+1,1))</f>
        <v>43.147469606759159</v>
      </c>
      <c r="HA192" s="59">
        <f t="shared" si="160"/>
        <v>147.46995307968473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1.5470849252819319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6.4477526336011094E-25</v>
      </c>
      <c r="HJ192" s="22">
        <f t="shared" si="190"/>
        <v>1.5470849252819319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2.8421709430404007E-14</v>
      </c>
      <c r="O193" s="13">
        <f>N193*VLOOKUP('Données projet'!$B$9,Paramètres!$A$1:$I$89,3,0)*VLOOKUP('Données projet'!$B$9,Paramètres!$A$1:$I$89,5,0)</f>
        <v>2.5715962692629544E-14</v>
      </c>
      <c r="P193" s="13">
        <f t="shared" si="141"/>
        <v>4.5248818890525812E-13</v>
      </c>
      <c r="Q193" s="20">
        <f t="shared" si="162"/>
        <v>8.3287223069965432E-13</v>
      </c>
      <c r="R193" s="59">
        <f t="shared" si="109"/>
        <v>293.33333333333417</v>
      </c>
      <c r="S193" s="59">
        <f ca="1">AVERAGE(OFFSET($R$3,0,0,'Données projet'!$E$9+1,1))-AVERAGE(OFFSET($H$3,0,0,'Données projet'!$E$9+1,1))</f>
        <v>138.8931001150624</v>
      </c>
      <c r="T193" s="59">
        <f t="shared" si="142"/>
        <v>48.964659354096625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-7.4487616075202836E-14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191.94797389630673</v>
      </c>
      <c r="AO193" s="59">
        <f t="shared" si="144"/>
        <v>273.52540822767878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0.16635168181920817</v>
      </c>
      <c r="AW193" s="21">
        <f>EXP(-LN(2)/2)*AW192+(1-EXP(-LN(2)/2))/(LN(2)/2)*AQ193*AT193*VLOOKUP('Données projet'!$B$10,Paramètres!$A$1:$I$89,3,0)*0.475*44/12</f>
        <v>1.9193123798998556E-23</v>
      </c>
      <c r="AX193" s="21">
        <f t="shared" si="166"/>
        <v>0.2746402865026355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3.5470293369144201E-14</v>
      </c>
      <c r="BF193" s="13">
        <f t="shared" si="167"/>
        <v>6.0119115841663204E-13</v>
      </c>
      <c r="BG193" s="20">
        <f t="shared" si="168"/>
        <v>1.1088520285268936E-12</v>
      </c>
      <c r="BH193" s="59">
        <f t="shared" si="116"/>
        <v>293.33333333333445</v>
      </c>
      <c r="BI193" s="59">
        <f ca="1">AVERAGE(OFFSET($BH$3,0,0,'Données projet'!$E$11+1,1))-AVERAGE(OFFSET($H$3,0,0,'Données projet'!$E$11+1,1))</f>
        <v>162.91481796710048</v>
      </c>
      <c r="BJ193" s="59">
        <f t="shared" si="146"/>
        <v>182.56192390367823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0.1169809382926746</v>
      </c>
      <c r="BQ193" s="21">
        <f>EXP(-LN(2)/25)*BQ192+(1-EXP(-LN(2)/25))/(LN(2)/25)*Calculateur!BL193*Calculateur!BN193*VLOOKUP('Données projet'!$B$11,Paramètres!$A$1:$I$89,3,0)*0.475*44/12</f>
        <v>0.18092206070712313</v>
      </c>
      <c r="BR193" s="21">
        <f>EXP(-LN(2)/2)*BR192+(1-EXP(-LN(2)/2))/(LN(2)/2)*BL193*BO193*VLOOKUP('Données projet'!$B$11,Paramètres!$A$1:$I$89,3,0)*0.475*44/12</f>
        <v>1.4864200196655284E-23</v>
      </c>
      <c r="BS193" s="22">
        <f t="shared" si="169"/>
        <v>0.29790299899979772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-5.3205440053716299E-14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123.60520571614535</v>
      </c>
      <c r="CE193" s="59">
        <f t="shared" si="148"/>
        <v>119.00926870519527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3.6478207766711276E-2</v>
      </c>
      <c r="CL193" s="21">
        <f>EXP(-LN(2)/25)*CL192+(1-EXP(-LN(2)/25))/(LN(2)/25)*Calculateur!CG193*Calculateur!CI193*VLOOKUP('Données projet'!$B$12,Paramètres!$A$1:$I$89,3,0)*0.475*44/12</f>
        <v>5.6564152678605345E-2</v>
      </c>
      <c r="CM193" s="21">
        <f>EXP(-LN(2)/2)*CM192+(1-EXP(-LN(2)/2))/(LN(2)/2)*CG193*CJ193*VLOOKUP('Données projet'!$B$12,Paramètres!$A$1:$I$89,3,0)*0.475*44/12</f>
        <v>5.0571427889855316E-24</v>
      </c>
      <c r="CN193" s="22">
        <f t="shared" si="172"/>
        <v>9.3042360445316621E-2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2.9706370696658272E-14</v>
      </c>
      <c r="CV193" s="13">
        <f t="shared" si="173"/>
        <v>5.1399863782592153E-13</v>
      </c>
      <c r="CW193" s="20">
        <f t="shared" si="174"/>
        <v>9.4695288984349312E-13</v>
      </c>
      <c r="CX193" s="59">
        <f t="shared" si="122"/>
        <v>293.33333333333428</v>
      </c>
      <c r="CY193" s="59">
        <f ca="1">AVERAGE(OFFSET($CX$3,0,0,'Données projet'!$E$13+1,1))-AVERAGE(OFFSET($H$3,0,0,'Données projet'!$E$13+1,1))</f>
        <v>177.94336949486529</v>
      </c>
      <c r="CZ193" s="59">
        <f t="shared" si="150"/>
        <v>65.559373432574603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3.3992364478763198E-14</v>
      </c>
      <c r="DQ193" s="13">
        <f t="shared" si="176"/>
        <v>5.790027782444094E-13</v>
      </c>
      <c r="DR193" s="20">
        <f t="shared" si="177"/>
        <v>1.0676332069095257E-12</v>
      </c>
      <c r="DS193" s="59">
        <f t="shared" si="125"/>
        <v>293.33333333333439</v>
      </c>
      <c r="DT193" s="59">
        <f ca="1">AVERAGE(OFFSET($DS$3,0,0,'Données projet'!$E$14+1,1))-AVERAGE(OFFSET($H$3,0,0,'Données projet'!$E$14+1,1))</f>
        <v>165.39579887388538</v>
      </c>
      <c r="DU193" s="59">
        <f t="shared" si="152"/>
        <v>155.89639262545802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8.6315856605089405E-2</v>
      </c>
      <c r="EC193" s="21">
        <f>EXP(-LN(2)/2)*EC192+(1-EXP(-LN(2)/2))/(LN(2)/2)*DW193*DZ193*VLOOKUP('Données projet'!$B$14,Paramètres!$A$1:$I$89,3,0)*0.475*44/12</f>
        <v>1.1481296461847021E-23</v>
      </c>
      <c r="ED193" s="22">
        <f t="shared" si="178"/>
        <v>8.6315856605089405E-2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-1.1368683772161603E-12</v>
      </c>
      <c r="EK193" s="17">
        <f>EJ193*VLOOKUP('Données projet'!$B$15,Paramètres!$A$1:$I$89,3,0)*VLOOKUP('Données projet'!$B$15,Paramètres!$A$1:$I$89,5,0)</f>
        <v>-5.4683368944097316E-13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252.30925789500111</v>
      </c>
      <c r="EP193" s="59">
        <f t="shared" si="154"/>
        <v>213.96033794804805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0.19483767140487535</v>
      </c>
      <c r="EW193" s="21">
        <f>EXP(-LN(2)/25)*EW192+(1-EXP(-LN(2)/25))/(LN(2)/25)*Calculateur!ER193*Calculateur!ET193*VLOOKUP('Données projet'!$B$15,Paramètres!$A$1:$I$89,3,0)*0.475*44/12</f>
        <v>0.10927849841526645</v>
      </c>
      <c r="EX193" s="21">
        <f>EXP(-LN(2)/2)*EX192+(1-EXP(-LN(2)/2))/(LN(2)/2)*ER193*EU193*VLOOKUP('Données projet'!$B$15,Paramètres!$A$1:$I$89,3,0)*0.475*44/12</f>
        <v>1.1892821191868691E-23</v>
      </c>
      <c r="EY193" s="22">
        <f t="shared" si="181"/>
        <v>0.30411616982014178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-1.1368683772161603E-12</v>
      </c>
      <c r="FF193" s="17">
        <f>FE193*VLOOKUP('Données projet'!$B$16,Paramètres!$A$1:$I$89,3,0)*VLOOKUP('Données projet'!$B$16,Paramètres!$A$1:$I$89,5,0)</f>
        <v>-5.4683368944097316E-13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252.30925789500111</v>
      </c>
      <c r="FK193" s="59">
        <f t="shared" si="156"/>
        <v>213.96033794804805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0.19483767140487535</v>
      </c>
      <c r="FR193" s="21">
        <f>EXP(-LN(2)/25)*FR192+(1-EXP(-LN(2)/25))/(LN(2)/25)*Calculateur!FM193*Calculateur!FO193*VLOOKUP('Données projet'!$B$16,Paramètres!$A$1:$I$89,3,0)*0.475*44/12</f>
        <v>0.10927849841526645</v>
      </c>
      <c r="FS193" s="21">
        <f>EXP(-LN(2)/2)*FS192+(1-EXP(-LN(2)/2))/(LN(2)/2)*FM193*FP193*VLOOKUP('Données projet'!$B$16,Paramètres!$A$1:$I$89,3,0)*0.475*44/12</f>
        <v>1.1892821191868691E-23</v>
      </c>
      <c r="FT193" s="22">
        <f t="shared" si="184"/>
        <v>0.30411616982014178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117.54638373164624</v>
      </c>
      <c r="GF193" s="59">
        <f t="shared" si="158"/>
        <v>133.0740262536583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9.3047913243232777E-2</v>
      </c>
      <c r="GM193" s="21">
        <f>EXP(-LN(2)/25)*GM192+(1-EXP(-LN(2)/25))/(LN(2)/25)*Calculateur!GH193*Calculateur!GJ193*VLOOKUP('Données projet'!$B$17,Paramètres!$A$1:$I$89,3,0)*0.475*44/12</f>
        <v>0.10249546834156781</v>
      </c>
      <c r="GN193" s="21">
        <f>EXP(-LN(2)/2)*GN192+(1-EXP(-LN(2)/2))/(LN(2)/2)*GH193*GK193*VLOOKUP('Données projet'!$B$17,Paramètres!$A$1:$I$89,3,0)*0.475*44/12</f>
        <v>3.3463778711968751E-24</v>
      </c>
      <c r="GO193" s="21">
        <f t="shared" si="187"/>
        <v>0.19554338158480059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2.8421709430404007E-14</v>
      </c>
      <c r="GV193" s="17">
        <f>GU193*VLOOKUP('Données projet'!$B$18,Paramètres!$A$1:$I$89,3,0)*VLOOKUP('Données projet'!$B$18,Paramètres!$A$1:$I$89,5,0)</f>
        <v>1.3567387213697657E-14</v>
      </c>
      <c r="GW193" s="13">
        <f t="shared" si="188"/>
        <v>2.5717320947985821E-13</v>
      </c>
      <c r="GX193" s="20">
        <f t="shared" si="189"/>
        <v>4.7153987257460977E-13</v>
      </c>
      <c r="GY193" s="59">
        <f t="shared" si="137"/>
        <v>293.33333333333377</v>
      </c>
      <c r="GZ193" s="59">
        <f ca="1">AVERAGE(OFFSET($GY$3,0,0,'Données projet'!$E$18+1,1))-AVERAGE(OFFSET($H$3,0,0,'Données projet'!$E$18+1,1))</f>
        <v>43.147469606759159</v>
      </c>
      <c r="HA193" s="59">
        <f t="shared" si="160"/>
        <v>147.46995307968473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1.5167475335257821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4.559249610632765E-25</v>
      </c>
      <c r="HJ193" s="22">
        <f t="shared" si="190"/>
        <v>1.5167475335257821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2.8421709430404007E-14</v>
      </c>
      <c r="O194" s="13">
        <f>N194*VLOOKUP('Données projet'!$B$9,Paramètres!$A$1:$I$89,3,0)*VLOOKUP('Données projet'!$B$9,Paramètres!$A$1:$I$89,5,0)</f>
        <v>2.5715962692629544E-14</v>
      </c>
      <c r="P194" s="13">
        <f t="shared" si="141"/>
        <v>4.5248818890525812E-13</v>
      </c>
      <c r="Q194" s="20">
        <f t="shared" si="162"/>
        <v>8.3287223069965432E-13</v>
      </c>
      <c r="R194" s="59">
        <f t="shared" si="109"/>
        <v>293.33333333333417</v>
      </c>
      <c r="S194" s="59">
        <f ca="1">AVERAGE(OFFSET($R$3,0,0,'Données projet'!$E$9+1,1))-AVERAGE(OFFSET($H$3,0,0,'Données projet'!$E$9+1,1))</f>
        <v>138.8931001150624</v>
      </c>
      <c r="T194" s="59">
        <f t="shared" si="142"/>
        <v>48.964659354096625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-7.4487616075202836E-14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191.94797389630673</v>
      </c>
      <c r="AO194" s="59">
        <f t="shared" si="144"/>
        <v>273.52540822767878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0.16180278633180717</v>
      </c>
      <c r="AW194" s="21">
        <f>EXP(-LN(2)/2)*AW193+(1-EXP(-LN(2)/2))/(LN(2)/2)*AQ194*AT194*VLOOKUP('Données projet'!$B$10,Paramètres!$A$1:$I$89,3,0)*0.475*44/12</f>
        <v>1.3571587990424789E-23</v>
      </c>
      <c r="AX194" s="21">
        <f t="shared" si="166"/>
        <v>0.26796791752691945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3.5470293369144201E-14</v>
      </c>
      <c r="BF194" s="13">
        <f t="shared" si="167"/>
        <v>6.0119115841663204E-13</v>
      </c>
      <c r="BG194" s="20">
        <f t="shared" si="168"/>
        <v>1.1088520285268936E-12</v>
      </c>
      <c r="BH194" s="59">
        <f t="shared" si="116"/>
        <v>293.33333333333445</v>
      </c>
      <c r="BI194" s="59">
        <f ca="1">AVERAGE(OFFSET($BH$3,0,0,'Données projet'!$E$11+1,1))-AVERAGE(OFFSET($H$3,0,0,'Données projet'!$E$11+1,1))</f>
        <v>162.91481796710048</v>
      </c>
      <c r="BJ194" s="59">
        <f t="shared" si="146"/>
        <v>182.56192390367823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0.11468701344408225</v>
      </c>
      <c r="BQ194" s="21">
        <f>EXP(-LN(2)/25)*BQ193+(1-EXP(-LN(2)/25))/(LN(2)/25)*Calculateur!BL194*Calculateur!BN194*VLOOKUP('Données projet'!$B$11,Paramètres!$A$1:$I$89,3,0)*0.475*44/12</f>
        <v>0.17597473744280917</v>
      </c>
      <c r="BR194" s="21">
        <f>EXP(-LN(2)/2)*BR193+(1-EXP(-LN(2)/2))/(LN(2)/2)*BL194*BO194*VLOOKUP('Données projet'!$B$11,Paramètres!$A$1:$I$89,3,0)*0.475*44/12</f>
        <v>1.0510576755969365E-23</v>
      </c>
      <c r="BS194" s="22">
        <f t="shared" si="169"/>
        <v>0.29066175088689139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-5.3205440053716299E-14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123.60520571614535</v>
      </c>
      <c r="CE194" s="59">
        <f t="shared" si="148"/>
        <v>119.00926870519527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3.5762892361915849E-2</v>
      </c>
      <c r="CL194" s="21">
        <f>EXP(-LN(2)/25)*CL193+(1-EXP(-LN(2)/25))/(LN(2)/25)*Calculateur!CG194*Calculateur!CI194*VLOOKUP('Données projet'!$B$12,Paramètres!$A$1:$I$89,3,0)*0.475*44/12</f>
        <v>5.5017402949029369E-2</v>
      </c>
      <c r="CM194" s="21">
        <f>EXP(-LN(2)/2)*CM193+(1-EXP(-LN(2)/2))/(LN(2)/2)*CG194*CJ194*VLOOKUP('Données projet'!$B$12,Paramètres!$A$1:$I$89,3,0)*0.475*44/12</f>
        <v>3.5759399595203189E-24</v>
      </c>
      <c r="CN194" s="22">
        <f t="shared" si="172"/>
        <v>9.0780295310945225E-2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2.9706370696658272E-14</v>
      </c>
      <c r="CV194" s="13">
        <f t="shared" si="173"/>
        <v>5.1399863782592153E-13</v>
      </c>
      <c r="CW194" s="20">
        <f t="shared" si="174"/>
        <v>9.4695288984349312E-13</v>
      </c>
      <c r="CX194" s="59">
        <f t="shared" si="122"/>
        <v>293.33333333333428</v>
      </c>
      <c r="CY194" s="59">
        <f ca="1">AVERAGE(OFFSET($CX$3,0,0,'Données projet'!$E$13+1,1))-AVERAGE(OFFSET($H$3,0,0,'Données projet'!$E$13+1,1))</f>
        <v>177.94336949486529</v>
      </c>
      <c r="CZ194" s="59">
        <f t="shared" si="150"/>
        <v>65.559373432574603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3.3992364478763198E-14</v>
      </c>
      <c r="DQ194" s="13">
        <f t="shared" si="176"/>
        <v>5.790027782444094E-13</v>
      </c>
      <c r="DR194" s="20">
        <f t="shared" si="177"/>
        <v>1.0676332069095257E-12</v>
      </c>
      <c r="DS194" s="59">
        <f t="shared" si="125"/>
        <v>293.33333333333439</v>
      </c>
      <c r="DT194" s="59">
        <f ca="1">AVERAGE(OFFSET($DS$3,0,0,'Données projet'!$E$14+1,1))-AVERAGE(OFFSET($H$3,0,0,'Données projet'!$E$14+1,1))</f>
        <v>165.39579887388538</v>
      </c>
      <c r="DU194" s="59">
        <f t="shared" si="152"/>
        <v>155.89639262545802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8.3955544967069612E-2</v>
      </c>
      <c r="EC194" s="21">
        <f>EXP(-LN(2)/2)*EC193+(1-EXP(-LN(2)/2))/(LN(2)/2)*DW194*DZ194*VLOOKUP('Données projet'!$B$14,Paramètres!$A$1:$I$89,3,0)*0.475*44/12</f>
        <v>8.1185025849851435E-24</v>
      </c>
      <c r="ED194" s="22">
        <f t="shared" si="178"/>
        <v>8.3955544967069612E-2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-1.1368683772161603E-12</v>
      </c>
      <c r="EK194" s="17">
        <f>EJ194*VLOOKUP('Données projet'!$B$15,Paramètres!$A$1:$I$89,3,0)*VLOOKUP('Données projet'!$B$15,Paramètres!$A$1:$I$89,5,0)</f>
        <v>-5.4683368944097316E-13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252.30925789500111</v>
      </c>
      <c r="EP194" s="59">
        <f t="shared" si="154"/>
        <v>213.96033794804805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0.19101702350787089</v>
      </c>
      <c r="EW194" s="21">
        <f>EXP(-LN(2)/25)*EW193+(1-EXP(-LN(2)/25))/(LN(2)/25)*Calculateur!ER194*Calculateur!ET194*VLOOKUP('Données projet'!$B$15,Paramètres!$A$1:$I$89,3,0)*0.475*44/12</f>
        <v>0.10629027212939451</v>
      </c>
      <c r="EX194" s="21">
        <f>EXP(-LN(2)/2)*EX193+(1-EXP(-LN(2)/2))/(LN(2)/2)*ER194*EU194*VLOOKUP('Données projet'!$B$15,Paramètres!$A$1:$I$89,3,0)*0.475*44/12</f>
        <v>8.4094945122094295E-24</v>
      </c>
      <c r="EY194" s="22">
        <f t="shared" si="181"/>
        <v>0.29730729563726543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-1.1368683772161603E-12</v>
      </c>
      <c r="FF194" s="17">
        <f>FE194*VLOOKUP('Données projet'!$B$16,Paramètres!$A$1:$I$89,3,0)*VLOOKUP('Données projet'!$B$16,Paramètres!$A$1:$I$89,5,0)</f>
        <v>-5.4683368944097316E-13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252.30925789500111</v>
      </c>
      <c r="FK194" s="59">
        <f t="shared" si="156"/>
        <v>213.96033794804805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0.19101702350787089</v>
      </c>
      <c r="FR194" s="21">
        <f>EXP(-LN(2)/25)*FR193+(1-EXP(-LN(2)/25))/(LN(2)/25)*Calculateur!FM194*Calculateur!FO194*VLOOKUP('Données projet'!$B$16,Paramètres!$A$1:$I$89,3,0)*0.475*44/12</f>
        <v>0.10629027212939451</v>
      </c>
      <c r="FS194" s="21">
        <f>EXP(-LN(2)/2)*FS193+(1-EXP(-LN(2)/2))/(LN(2)/2)*FM194*FP194*VLOOKUP('Données projet'!$B$16,Paramètres!$A$1:$I$89,3,0)*0.475*44/12</f>
        <v>8.4094945122094295E-24</v>
      </c>
      <c r="FT194" s="22">
        <f t="shared" si="184"/>
        <v>0.29730729563726543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117.54638373164624</v>
      </c>
      <c r="GF194" s="59">
        <f t="shared" si="158"/>
        <v>133.0740262536583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9.12233004181561E-2</v>
      </c>
      <c r="GM194" s="21">
        <f>EXP(-LN(2)/25)*GM193+(1-EXP(-LN(2)/25))/(LN(2)/25)*Calculateur!GH194*Calculateur!GJ194*VLOOKUP('Données projet'!$B$17,Paramètres!$A$1:$I$89,3,0)*0.475*44/12</f>
        <v>9.9692724369765215E-2</v>
      </c>
      <c r="GN194" s="21">
        <f>EXP(-LN(2)/2)*GN193+(1-EXP(-LN(2)/2))/(LN(2)/2)*GH194*GK194*VLOOKUP('Données projet'!$B$17,Paramètres!$A$1:$I$89,3,0)*0.475*44/12</f>
        <v>2.3662464851359135E-24</v>
      </c>
      <c r="GO194" s="21">
        <f t="shared" si="187"/>
        <v>0.1909160247879213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2.8421709430404007E-14</v>
      </c>
      <c r="GV194" s="17">
        <f>GU194*VLOOKUP('Données projet'!$B$18,Paramètres!$A$1:$I$89,3,0)*VLOOKUP('Données projet'!$B$18,Paramètres!$A$1:$I$89,5,0)</f>
        <v>1.3567387213697657E-14</v>
      </c>
      <c r="GW194" s="13">
        <f t="shared" si="188"/>
        <v>2.5717320947985821E-13</v>
      </c>
      <c r="GX194" s="20">
        <f t="shared" si="189"/>
        <v>4.7153987257460977E-13</v>
      </c>
      <c r="GY194" s="59">
        <f t="shared" si="137"/>
        <v>293.33333333333377</v>
      </c>
      <c r="GZ194" s="59">
        <f ca="1">AVERAGE(OFFSET($GY$3,0,0,'Données projet'!$E$18+1,1))-AVERAGE(OFFSET($H$3,0,0,'Données projet'!$E$18+1,1))</f>
        <v>43.147469606759159</v>
      </c>
      <c r="HA194" s="59">
        <f t="shared" si="160"/>
        <v>147.46995307968473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1.4870050395179886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3.2238763168005547E-25</v>
      </c>
      <c r="HJ194" s="22">
        <f t="shared" si="190"/>
        <v>1.4870050395179886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2.8421709430404007E-14</v>
      </c>
      <c r="O195" s="13">
        <f>N195*VLOOKUP('Données projet'!$B$9,Paramètres!$A$1:$I$89,3,0)*VLOOKUP('Données projet'!$B$9,Paramètres!$A$1:$I$89,5,0)</f>
        <v>2.5715962692629544E-14</v>
      </c>
      <c r="P195" s="13">
        <f t="shared" si="141"/>
        <v>4.5248818890525812E-13</v>
      </c>
      <c r="Q195" s="20">
        <f t="shared" si="162"/>
        <v>8.3287223069965432E-13</v>
      </c>
      <c r="R195" s="59">
        <f t="shared" ref="R195:R203" si="191">Q195+(I195+J195)*44/12</f>
        <v>293.33333333333417</v>
      </c>
      <c r="S195" s="59">
        <f ca="1">AVERAGE(OFFSET($R$3,0,0,'Données projet'!$E$9+1,1))-AVERAGE(OFFSET($H$3,0,0,'Données projet'!$E$9+1,1))</f>
        <v>138.8931001150624</v>
      </c>
      <c r="T195" s="59">
        <f t="shared" si="142"/>
        <v>48.964659354096625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-7.4487616075202836E-14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191.94797389630673</v>
      </c>
      <c r="AO195" s="59">
        <f t="shared" si="144"/>
        <v>273.52540822767878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0.15737828063072518</v>
      </c>
      <c r="AW195" s="21">
        <f>EXP(-LN(2)/2)*AW194+(1-EXP(-LN(2)/2))/(LN(2)/2)*AQ195*AT195*VLOOKUP('Données projet'!$B$10,Paramètres!$A$1:$I$89,3,0)*0.475*44/12</f>
        <v>9.596561899499278E-24</v>
      </c>
      <c r="AX195" s="21">
        <f t="shared" si="166"/>
        <v>0.26146157835743739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3.5470293369144201E-14</v>
      </c>
      <c r="BF195" s="13">
        <f t="shared" si="167"/>
        <v>6.0119115841663204E-13</v>
      </c>
      <c r="BG195" s="20">
        <f t="shared" si="168"/>
        <v>1.1088520285268936E-12</v>
      </c>
      <c r="BH195" s="59">
        <f t="shared" si="116"/>
        <v>293.33333333333445</v>
      </c>
      <c r="BI195" s="59">
        <f ca="1">AVERAGE(OFFSET($BH$3,0,0,'Données projet'!$E$11+1,1))-AVERAGE(OFFSET($H$3,0,0,'Données projet'!$E$11+1,1))</f>
        <v>162.91481796710048</v>
      </c>
      <c r="BJ195" s="59">
        <f t="shared" si="146"/>
        <v>182.56192390367823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0.11243807106261479</v>
      </c>
      <c r="BQ195" s="21">
        <f>EXP(-LN(2)/25)*BQ194+(1-EXP(-LN(2)/25))/(LN(2)/25)*Calculateur!BL195*Calculateur!BN195*VLOOKUP('Données projet'!$B$11,Paramètres!$A$1:$I$89,3,0)*0.475*44/12</f>
        <v>0.17116269899332631</v>
      </c>
      <c r="BR195" s="21">
        <f>EXP(-LN(2)/2)*BR194+(1-EXP(-LN(2)/2))/(LN(2)/2)*BL195*BO195*VLOOKUP('Données projet'!$B$11,Paramètres!$A$1:$I$89,3,0)*0.475*44/12</f>
        <v>7.432100098327642E-24</v>
      </c>
      <c r="BS195" s="22">
        <f t="shared" si="169"/>
        <v>0.28360077005594109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-5.3205440053716299E-14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123.60520571614535</v>
      </c>
      <c r="CE195" s="59">
        <f t="shared" si="148"/>
        <v>119.00926870519527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3.5061603855909146E-2</v>
      </c>
      <c r="CL195" s="21">
        <f>EXP(-LN(2)/25)*CL194+(1-EXP(-LN(2)/25))/(LN(2)/25)*Calculateur!CG195*Calculateur!CI195*VLOOKUP('Données projet'!$B$12,Paramètres!$A$1:$I$89,3,0)*0.475*44/12</f>
        <v>5.3512949172148681E-2</v>
      </c>
      <c r="CM195" s="21">
        <f>EXP(-LN(2)/2)*CM194+(1-EXP(-LN(2)/2))/(LN(2)/2)*CG195*CJ195*VLOOKUP('Données projet'!$B$12,Paramètres!$A$1:$I$89,3,0)*0.475*44/12</f>
        <v>2.5285713944927658E-24</v>
      </c>
      <c r="CN195" s="22">
        <f t="shared" si="172"/>
        <v>8.8574553028057834E-2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2.9706370696658272E-14</v>
      </c>
      <c r="CV195" s="13">
        <f t="shared" si="173"/>
        <v>5.1399863782592153E-13</v>
      </c>
      <c r="CW195" s="20">
        <f t="shared" si="174"/>
        <v>9.4695288984349312E-13</v>
      </c>
      <c r="CX195" s="59">
        <f t="shared" si="122"/>
        <v>293.33333333333428</v>
      </c>
      <c r="CY195" s="59">
        <f ca="1">AVERAGE(OFFSET($CX$3,0,0,'Données projet'!$E$13+1,1))-AVERAGE(OFFSET($H$3,0,0,'Données projet'!$E$13+1,1))</f>
        <v>177.94336949486529</v>
      </c>
      <c r="CZ195" s="59">
        <f t="shared" si="150"/>
        <v>65.559373432574603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3.3992364478763198E-14</v>
      </c>
      <c r="DQ195" s="13">
        <f t="shared" si="176"/>
        <v>5.790027782444094E-13</v>
      </c>
      <c r="DR195" s="20">
        <f t="shared" si="177"/>
        <v>1.0676332069095257E-12</v>
      </c>
      <c r="DS195" s="59">
        <f t="shared" si="125"/>
        <v>293.33333333333439</v>
      </c>
      <c r="DT195" s="59">
        <f ca="1">AVERAGE(OFFSET($DS$3,0,0,'Données projet'!$E$14+1,1))-AVERAGE(OFFSET($H$3,0,0,'Données projet'!$E$14+1,1))</f>
        <v>165.39579887388538</v>
      </c>
      <c r="DU195" s="59">
        <f t="shared" si="152"/>
        <v>155.89639262545802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8.1659776174914864E-2</v>
      </c>
      <c r="EC195" s="21">
        <f>EXP(-LN(2)/2)*EC194+(1-EXP(-LN(2)/2))/(LN(2)/2)*DW195*DZ195*VLOOKUP('Données projet'!$B$14,Paramètres!$A$1:$I$89,3,0)*0.475*44/12</f>
        <v>5.7406482309235104E-24</v>
      </c>
      <c r="ED195" s="22">
        <f t="shared" si="178"/>
        <v>8.1659776174914864E-2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-1.1368683772161603E-12</v>
      </c>
      <c r="EK195" s="17">
        <f>EJ195*VLOOKUP('Données projet'!$B$15,Paramètres!$A$1:$I$89,3,0)*VLOOKUP('Données projet'!$B$15,Paramètres!$A$1:$I$89,5,0)</f>
        <v>-5.4683368944097316E-13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252.30925789500111</v>
      </c>
      <c r="EP195" s="59">
        <f t="shared" si="154"/>
        <v>213.96033794804805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0.18727129618576158</v>
      </c>
      <c r="EW195" s="21">
        <f>EXP(-LN(2)/25)*EW194+(1-EXP(-LN(2)/25))/(LN(2)/25)*Calculateur!ER195*Calculateur!ET195*VLOOKUP('Données projet'!$B$15,Paramètres!$A$1:$I$89,3,0)*0.475*44/12</f>
        <v>0.10338375904845373</v>
      </c>
      <c r="EX195" s="21">
        <f>EXP(-LN(2)/2)*EX194+(1-EXP(-LN(2)/2))/(LN(2)/2)*ER195*EU195*VLOOKUP('Données projet'!$B$15,Paramètres!$A$1:$I$89,3,0)*0.475*44/12</f>
        <v>5.9464105959343453E-24</v>
      </c>
      <c r="EY195" s="22">
        <f t="shared" si="181"/>
        <v>0.29065505523421531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-1.1368683772161603E-12</v>
      </c>
      <c r="FF195" s="17">
        <f>FE195*VLOOKUP('Données projet'!$B$16,Paramètres!$A$1:$I$89,3,0)*VLOOKUP('Données projet'!$B$16,Paramètres!$A$1:$I$89,5,0)</f>
        <v>-5.4683368944097316E-13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252.30925789500111</v>
      </c>
      <c r="FK195" s="59">
        <f t="shared" si="156"/>
        <v>213.96033794804805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0.18727129618576158</v>
      </c>
      <c r="FR195" s="21">
        <f>EXP(-LN(2)/25)*FR194+(1-EXP(-LN(2)/25))/(LN(2)/25)*Calculateur!FM195*Calculateur!FO195*VLOOKUP('Données projet'!$B$16,Paramètres!$A$1:$I$89,3,0)*0.475*44/12</f>
        <v>0.10338375904845373</v>
      </c>
      <c r="FS195" s="21">
        <f>EXP(-LN(2)/2)*FS194+(1-EXP(-LN(2)/2))/(LN(2)/2)*FM195*FP195*VLOOKUP('Données projet'!$B$16,Paramètres!$A$1:$I$89,3,0)*0.475*44/12</f>
        <v>5.9464105959343453E-24</v>
      </c>
      <c r="FT195" s="22">
        <f t="shared" si="184"/>
        <v>0.29065505523421531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117.54638373164624</v>
      </c>
      <c r="GF195" s="59">
        <f t="shared" si="158"/>
        <v>133.0740262536583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8.943446713767525E-2</v>
      </c>
      <c r="GM195" s="21">
        <f>EXP(-LN(2)/25)*GM194+(1-EXP(-LN(2)/25))/(LN(2)/25)*Calculateur!GH195*Calculateur!GJ195*VLOOKUP('Données projet'!$B$17,Paramètres!$A$1:$I$89,3,0)*0.475*44/12</f>
        <v>9.6966621579261461E-2</v>
      </c>
      <c r="GN195" s="21">
        <f>EXP(-LN(2)/2)*GN194+(1-EXP(-LN(2)/2))/(LN(2)/2)*GH195*GK195*VLOOKUP('Données projet'!$B$17,Paramètres!$A$1:$I$89,3,0)*0.475*44/12</f>
        <v>1.6731889355984375E-24</v>
      </c>
      <c r="GO195" s="21">
        <f t="shared" si="187"/>
        <v>0.18640108871693672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2.8421709430404007E-14</v>
      </c>
      <c r="GV195" s="17">
        <f>GU195*VLOOKUP('Données projet'!$B$18,Paramètres!$A$1:$I$89,3,0)*VLOOKUP('Données projet'!$B$18,Paramètres!$A$1:$I$89,5,0)</f>
        <v>1.3567387213697657E-14</v>
      </c>
      <c r="GW195" s="13">
        <f t="shared" si="188"/>
        <v>2.5717320947985821E-13</v>
      </c>
      <c r="GX195" s="20">
        <f t="shared" si="189"/>
        <v>4.7153987257460977E-13</v>
      </c>
      <c r="GY195" s="59">
        <f t="shared" si="137"/>
        <v>293.33333333333377</v>
      </c>
      <c r="GZ195" s="59">
        <f ca="1">AVERAGE(OFFSET($GY$3,0,0,'Données projet'!$E$18+1,1))-AVERAGE(OFFSET($H$3,0,0,'Données projet'!$E$18+1,1))</f>
        <v>43.147469606759159</v>
      </c>
      <c r="HA195" s="59">
        <f t="shared" si="160"/>
        <v>147.46995307968473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1.4578457776765577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2.2796248053163825E-25</v>
      </c>
      <c r="HJ195" s="22">
        <f t="shared" si="190"/>
        <v>1.4578457776765577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2.8421709430404007E-14</v>
      </c>
      <c r="O196" s="13">
        <f>N196*VLOOKUP('Données projet'!$B$9,Paramètres!$A$1:$I$89,3,0)*VLOOKUP('Données projet'!$B$9,Paramètres!$A$1:$I$89,5,0)</f>
        <v>2.5715962692629544E-14</v>
      </c>
      <c r="P196" s="13">
        <f t="shared" si="141"/>
        <v>4.5248818890525812E-13</v>
      </c>
      <c r="Q196" s="20">
        <f t="shared" si="162"/>
        <v>8.3287223069965432E-13</v>
      </c>
      <c r="R196" s="59">
        <f t="shared" si="191"/>
        <v>293.33333333333417</v>
      </c>
      <c r="S196" s="59">
        <f ca="1">AVERAGE(OFFSET($R$3,0,0,'Données projet'!$E$9+1,1))-AVERAGE(OFFSET($H$3,0,0,'Données projet'!$E$9+1,1))</f>
        <v>138.8931001150624</v>
      </c>
      <c r="T196" s="59">
        <f t="shared" si="142"/>
        <v>48.964659354096625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-7.4487616075202836E-14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191.94797389630673</v>
      </c>
      <c r="AO196" s="59">
        <f t="shared" si="144"/>
        <v>273.52540822767878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0.1530747632707139</v>
      </c>
      <c r="AW196" s="21">
        <f>EXP(-LN(2)/2)*AW195+(1-EXP(-LN(2)/2))/(LN(2)/2)*AQ196*AT196*VLOOKUP('Données projet'!$B$10,Paramètres!$A$1:$I$89,3,0)*0.475*44/12</f>
        <v>6.7857939952123946E-24</v>
      </c>
      <c r="AX196" s="21">
        <f t="shared" si="166"/>
        <v>0.25511705101354831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3.5470293369144201E-14</v>
      </c>
      <c r="BF196" s="13">
        <f t="shared" si="167"/>
        <v>6.0119115841663204E-13</v>
      </c>
      <c r="BG196" s="20">
        <f t="shared" si="168"/>
        <v>1.1088520285268936E-12</v>
      </c>
      <c r="BH196" s="59">
        <f t="shared" ref="BH196:BH203" si="194">BG196+(AY196+AZ196)*44/12</f>
        <v>293.33333333333445</v>
      </c>
      <c r="BI196" s="59">
        <f ca="1">AVERAGE(OFFSET($BH$3,0,0,'Données projet'!$E$11+1,1))-AVERAGE(OFFSET($H$3,0,0,'Données projet'!$E$11+1,1))</f>
        <v>162.91481796710048</v>
      </c>
      <c r="BJ196" s="59">
        <f t="shared" si="146"/>
        <v>182.56192390367823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0.11023322906952851</v>
      </c>
      <c r="BQ196" s="21">
        <f>EXP(-LN(2)/25)*BQ195+(1-EXP(-LN(2)/25))/(LN(2)/25)*Calculateur!BL196*Calculateur!BN196*VLOOKUP('Données projet'!$B$11,Paramètres!$A$1:$I$89,3,0)*0.475*44/12</f>
        <v>0.16648224598829867</v>
      </c>
      <c r="BR196" s="21">
        <f>EXP(-LN(2)/2)*BR195+(1-EXP(-LN(2)/2))/(LN(2)/2)*BL196*BO196*VLOOKUP('Données projet'!$B$11,Paramètres!$A$1:$I$89,3,0)*0.475*44/12</f>
        <v>5.2552883779846824E-24</v>
      </c>
      <c r="BS196" s="22">
        <f t="shared" si="169"/>
        <v>0.27671547505782718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-5.3205440053716299E-14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123.60520571614535</v>
      </c>
      <c r="CE196" s="59">
        <f t="shared" si="148"/>
        <v>119.00926870519527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3.4374067189761479E-2</v>
      </c>
      <c r="CL196" s="21">
        <f>EXP(-LN(2)/25)*CL195+(1-EXP(-LN(2)/25))/(LN(2)/25)*Calculateur!CG196*Calculateur!CI196*VLOOKUP('Données projet'!$B$12,Paramètres!$A$1:$I$89,3,0)*0.475*44/12</f>
        <v>5.2049634762912585E-2</v>
      </c>
      <c r="CM196" s="21">
        <f>EXP(-LN(2)/2)*CM195+(1-EXP(-LN(2)/2))/(LN(2)/2)*CG196*CJ196*VLOOKUP('Données projet'!$B$12,Paramètres!$A$1:$I$89,3,0)*0.475*44/12</f>
        <v>1.7879699797601595E-24</v>
      </c>
      <c r="CN196" s="22">
        <f t="shared" si="172"/>
        <v>8.642370195267407E-2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2.9706370696658272E-14</v>
      </c>
      <c r="CV196" s="13">
        <f t="shared" si="173"/>
        <v>5.1399863782592153E-13</v>
      </c>
      <c r="CW196" s="20">
        <f t="shared" si="174"/>
        <v>9.4695288984349312E-13</v>
      </c>
      <c r="CX196" s="59">
        <f t="shared" ref="CX196:CX203" si="196">CW196+(CO196+CP196)*44/12</f>
        <v>293.33333333333428</v>
      </c>
      <c r="CY196" s="59">
        <f ca="1">AVERAGE(OFFSET($CX$3,0,0,'Données projet'!$E$13+1,1))-AVERAGE(OFFSET($H$3,0,0,'Données projet'!$E$13+1,1))</f>
        <v>177.94336949486529</v>
      </c>
      <c r="CZ196" s="59">
        <f t="shared" si="150"/>
        <v>65.559373432574603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3.3992364478763198E-14</v>
      </c>
      <c r="DQ196" s="13">
        <f t="shared" si="176"/>
        <v>5.790027782444094E-13</v>
      </c>
      <c r="DR196" s="20">
        <f t="shared" si="177"/>
        <v>1.0676332069095257E-12</v>
      </c>
      <c r="DS196" s="59">
        <f t="shared" ref="DS196:DS203" si="197">DR196+(DJ196+DK196)*44/12</f>
        <v>293.33333333333439</v>
      </c>
      <c r="DT196" s="59">
        <f ca="1">AVERAGE(OFFSET($DS$3,0,0,'Données projet'!$E$14+1,1))-AVERAGE(OFFSET($H$3,0,0,'Données projet'!$E$14+1,1))</f>
        <v>165.39579887388538</v>
      </c>
      <c r="DU196" s="59">
        <f t="shared" si="152"/>
        <v>155.89639262545802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7.942678530111083E-2</v>
      </c>
      <c r="EC196" s="21">
        <f>EXP(-LN(2)/2)*EC195+(1-EXP(-LN(2)/2))/(LN(2)/2)*DW196*DZ196*VLOOKUP('Données projet'!$B$14,Paramètres!$A$1:$I$89,3,0)*0.475*44/12</f>
        <v>4.0592512924925717E-24</v>
      </c>
      <c r="ED196" s="22">
        <f t="shared" si="178"/>
        <v>7.942678530111083E-2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-1.1368683772161603E-12</v>
      </c>
      <c r="EK196" s="17">
        <f>EJ196*VLOOKUP('Données projet'!$B$15,Paramètres!$A$1:$I$89,3,0)*VLOOKUP('Données projet'!$B$15,Paramètres!$A$1:$I$89,5,0)</f>
        <v>-5.4683368944097316E-13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252.30925789500111</v>
      </c>
      <c r="EP196" s="59">
        <f t="shared" si="154"/>
        <v>213.96033794804805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0.18359902029177075</v>
      </c>
      <c r="EW196" s="21">
        <f>EXP(-LN(2)/25)*EW195+(1-EXP(-LN(2)/25))/(LN(2)/25)*Calculateur!ER196*Calculateur!ET196*VLOOKUP('Données projet'!$B$15,Paramètres!$A$1:$I$89,3,0)*0.475*44/12</f>
        <v>0.10055672472055817</v>
      </c>
      <c r="EX196" s="21">
        <f>EXP(-LN(2)/2)*EX195+(1-EXP(-LN(2)/2))/(LN(2)/2)*ER196*EU196*VLOOKUP('Données projet'!$B$15,Paramètres!$A$1:$I$89,3,0)*0.475*44/12</f>
        <v>4.2047472561047147E-24</v>
      </c>
      <c r="EY196" s="22">
        <f t="shared" si="181"/>
        <v>0.28415574501232893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-1.1368683772161603E-12</v>
      </c>
      <c r="FF196" s="17">
        <f>FE196*VLOOKUP('Données projet'!$B$16,Paramètres!$A$1:$I$89,3,0)*VLOOKUP('Données projet'!$B$16,Paramètres!$A$1:$I$89,5,0)</f>
        <v>-5.4683368944097316E-13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252.30925789500111</v>
      </c>
      <c r="FK196" s="59">
        <f t="shared" si="156"/>
        <v>213.96033794804805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0.18359902029177075</v>
      </c>
      <c r="FR196" s="21">
        <f>EXP(-LN(2)/25)*FR195+(1-EXP(-LN(2)/25))/(LN(2)/25)*Calculateur!FM196*Calculateur!FO196*VLOOKUP('Données projet'!$B$16,Paramètres!$A$1:$I$89,3,0)*0.475*44/12</f>
        <v>0.10055672472055817</v>
      </c>
      <c r="FS196" s="21">
        <f>EXP(-LN(2)/2)*FS195+(1-EXP(-LN(2)/2))/(LN(2)/2)*FM196*FP196*VLOOKUP('Données projet'!$B$16,Paramètres!$A$1:$I$89,3,0)*0.475*44/12</f>
        <v>4.2047472561047147E-24</v>
      </c>
      <c r="FT196" s="22">
        <f t="shared" si="184"/>
        <v>0.28415574501232893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117.54638373164624</v>
      </c>
      <c r="GF196" s="59">
        <f t="shared" si="158"/>
        <v>133.0740262536583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8.7680711786744067E-2</v>
      </c>
      <c r="GM196" s="21">
        <f>EXP(-LN(2)/25)*GM195+(1-EXP(-LN(2)/25))/(LN(2)/25)*Calculateur!GH196*Calculateur!GJ196*VLOOKUP('Données projet'!$B$17,Paramètres!$A$1:$I$89,3,0)*0.475*44/12</f>
        <v>9.4315064212923544E-2</v>
      </c>
      <c r="GN196" s="21">
        <f>EXP(-LN(2)/2)*GN195+(1-EXP(-LN(2)/2))/(LN(2)/2)*GH196*GK196*VLOOKUP('Données projet'!$B$17,Paramètres!$A$1:$I$89,3,0)*0.475*44/12</f>
        <v>1.1831232425679567E-24</v>
      </c>
      <c r="GO196" s="21">
        <f t="shared" si="187"/>
        <v>0.1819957759996676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2.8421709430404007E-14</v>
      </c>
      <c r="GV196" s="17">
        <f>GU196*VLOOKUP('Données projet'!$B$18,Paramètres!$A$1:$I$89,3,0)*VLOOKUP('Données projet'!$B$18,Paramètres!$A$1:$I$89,5,0)</f>
        <v>1.3567387213697657E-14</v>
      </c>
      <c r="GW196" s="13">
        <f t="shared" si="188"/>
        <v>2.5717320947985821E-13</v>
      </c>
      <c r="GX196" s="20">
        <f t="shared" si="189"/>
        <v>4.7153987257460977E-13</v>
      </c>
      <c r="GY196" s="59">
        <f t="shared" ref="GY196:GY203" si="201">GX196+(GP196+GQ196)*44/12</f>
        <v>293.33333333333377</v>
      </c>
      <c r="GZ196" s="59">
        <f ca="1">AVERAGE(OFFSET($GY$3,0,0,'Données projet'!$E$18+1,1))-AVERAGE(OFFSET($H$3,0,0,'Données projet'!$E$18+1,1))</f>
        <v>43.147469606759159</v>
      </c>
      <c r="HA196" s="59">
        <f t="shared" si="160"/>
        <v>147.46995307968473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1.4292583111744437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1.6119381584002773E-25</v>
      </c>
      <c r="HJ196" s="22">
        <f t="shared" si="190"/>
        <v>1.4292583111744437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2.8421709430404007E-14</v>
      </c>
      <c r="O197" s="13">
        <f>N197*VLOOKUP('Données projet'!$B$9,Paramètres!$A$1:$I$89,3,0)*VLOOKUP('Données projet'!$B$9,Paramètres!$A$1:$I$89,5,0)</f>
        <v>2.5715962692629544E-14</v>
      </c>
      <c r="P197" s="13">
        <f t="shared" ref="P197:P203" si="203">EXP(-1.0587+0.8836*LN(O197)+0.284)</f>
        <v>4.5248818890525812E-13</v>
      </c>
      <c r="Q197" s="20">
        <f t="shared" si="162"/>
        <v>8.3287223069965432E-13</v>
      </c>
      <c r="R197" s="59">
        <f t="shared" si="191"/>
        <v>293.33333333333417</v>
      </c>
      <c r="S197" s="59">
        <f ca="1">AVERAGE(OFFSET($R$3,0,0,'Données projet'!$E$9+1,1))-AVERAGE(OFFSET($H$3,0,0,'Données projet'!$E$9+1,1))</f>
        <v>138.8931001150624</v>
      </c>
      <c r="T197" s="59">
        <f t="shared" ref="T197:T203" si="204">$T$3</f>
        <v>48.964659354096625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-7.4487616075202836E-14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191.94797389630673</v>
      </c>
      <c r="AO197" s="59">
        <f t="shared" ref="AO197:AO203" si="205">$AO$3</f>
        <v>273.52540822767878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0.14888892581922428</v>
      </c>
      <c r="AW197" s="21">
        <f>EXP(-LN(2)/2)*AW196+(1-EXP(-LN(2)/2))/(LN(2)/2)*AQ197*AT197*VLOOKUP('Données projet'!$B$10,Paramètres!$A$1:$I$89,3,0)*0.475*44/12</f>
        <v>4.798280949749639E-24</v>
      </c>
      <c r="AX197" s="21">
        <f t="shared" si="166"/>
        <v>0.2489302265390716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3.5470293369144201E-14</v>
      </c>
      <c r="BF197" s="13">
        <f t="shared" si="167"/>
        <v>6.0119115841663204E-13</v>
      </c>
      <c r="BG197" s="20">
        <f t="shared" si="168"/>
        <v>1.1088520285268936E-12</v>
      </c>
      <c r="BH197" s="59">
        <f t="shared" si="194"/>
        <v>293.33333333333445</v>
      </c>
      <c r="BI197" s="59">
        <f ca="1">AVERAGE(OFFSET($BH$3,0,0,'Données projet'!$E$11+1,1))-AVERAGE(OFFSET($H$3,0,0,'Données projet'!$E$11+1,1))</f>
        <v>162.91481796710048</v>
      </c>
      <c r="BJ197" s="59">
        <f t="shared" ref="BJ197:BJ203" si="206">$BJ$3</f>
        <v>182.56192390367823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0.10807162268310583</v>
      </c>
      <c r="BQ197" s="21">
        <f>EXP(-LN(2)/25)*BQ196+(1-EXP(-LN(2)/25))/(LN(2)/25)*Calculateur!BL197*Calculateur!BN197*VLOOKUP('Données projet'!$B$11,Paramètres!$A$1:$I$89,3,0)*0.475*44/12</f>
        <v>0.16192978021682783</v>
      </c>
      <c r="BR197" s="21">
        <f>EXP(-LN(2)/2)*BR196+(1-EXP(-LN(2)/2))/(LN(2)/2)*BL197*BO197*VLOOKUP('Données projet'!$B$11,Paramètres!$A$1:$I$89,3,0)*0.475*44/12</f>
        <v>3.716050049163821E-24</v>
      </c>
      <c r="BS197" s="22">
        <f t="shared" si="169"/>
        <v>0.27000140289993368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-5.3205440053716299E-14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123.60520571614535</v>
      </c>
      <c r="CE197" s="59">
        <f t="shared" ref="CE197:CE203" si="207">$CE$3</f>
        <v>119.00926870519527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3.3700012698281011E-2</v>
      </c>
      <c r="CL197" s="21">
        <f>EXP(-LN(2)/25)*CL196+(1-EXP(-LN(2)/25))/(LN(2)/25)*Calculateur!CG197*Calculateur!CI197*VLOOKUP('Données projet'!$B$12,Paramètres!$A$1:$I$89,3,0)*0.475*44/12</f>
        <v>5.0626334763149407E-2</v>
      </c>
      <c r="CM197" s="21">
        <f>EXP(-LN(2)/2)*CM196+(1-EXP(-LN(2)/2))/(LN(2)/2)*CG197*CJ197*VLOOKUP('Données projet'!$B$12,Paramètres!$A$1:$I$89,3,0)*0.475*44/12</f>
        <v>1.2642856972463829E-24</v>
      </c>
      <c r="CN197" s="22">
        <f t="shared" si="172"/>
        <v>8.4326347461430418E-2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2.9706370696658272E-14</v>
      </c>
      <c r="CV197" s="13">
        <f t="shared" si="173"/>
        <v>5.1399863782592153E-13</v>
      </c>
      <c r="CW197" s="20">
        <f t="shared" si="174"/>
        <v>9.4695288984349312E-13</v>
      </c>
      <c r="CX197" s="59">
        <f t="shared" si="196"/>
        <v>293.33333333333428</v>
      </c>
      <c r="CY197" s="59">
        <f ca="1">AVERAGE(OFFSET($CX$3,0,0,'Données projet'!$E$13+1,1))-AVERAGE(OFFSET($H$3,0,0,'Données projet'!$E$13+1,1))</f>
        <v>177.94336949486529</v>
      </c>
      <c r="CZ197" s="59">
        <f t="shared" ref="CZ197:CZ203" si="208">$CZ$3</f>
        <v>65.559373432574603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3.3992364478763198E-14</v>
      </c>
      <c r="DQ197" s="13">
        <f t="shared" si="176"/>
        <v>5.790027782444094E-13</v>
      </c>
      <c r="DR197" s="20">
        <f t="shared" si="177"/>
        <v>1.0676332069095257E-12</v>
      </c>
      <c r="DS197" s="59">
        <f t="shared" si="197"/>
        <v>293.33333333333439</v>
      </c>
      <c r="DT197" s="59">
        <f ca="1">AVERAGE(OFFSET($DS$3,0,0,'Données projet'!$E$14+1,1))-AVERAGE(OFFSET($H$3,0,0,'Données projet'!$E$14+1,1))</f>
        <v>165.39579887388538</v>
      </c>
      <c r="DU197" s="59">
        <f t="shared" ref="DU197:DU203" si="209">$DU$3</f>
        <v>155.89639262545802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7.7254855680178855E-2</v>
      </c>
      <c r="EC197" s="21">
        <f>EXP(-LN(2)/2)*EC196+(1-EXP(-LN(2)/2))/(LN(2)/2)*DW197*DZ197*VLOOKUP('Données projet'!$B$14,Paramètres!$A$1:$I$89,3,0)*0.475*44/12</f>
        <v>2.8703241154617552E-24</v>
      </c>
      <c r="ED197" s="22">
        <f t="shared" si="178"/>
        <v>7.7254855680178855E-2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-1.1368683772161603E-12</v>
      </c>
      <c r="EK197" s="17">
        <f>EJ197*VLOOKUP('Données projet'!$B$15,Paramètres!$A$1:$I$89,3,0)*VLOOKUP('Données projet'!$B$15,Paramètres!$A$1:$I$89,5,0)</f>
        <v>-5.4683368944097316E-13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252.30925789500111</v>
      </c>
      <c r="EP197" s="59">
        <f t="shared" ref="EP197:EP203" si="210">$EP$3</f>
        <v>213.96033794804805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0.17999875548819397</v>
      </c>
      <c r="EW197" s="21">
        <f>EXP(-LN(2)/25)*EW196+(1-EXP(-LN(2)/25))/(LN(2)/25)*Calculateur!ER197*Calculateur!ET197*VLOOKUP('Données projet'!$B$15,Paramètres!$A$1:$I$89,3,0)*0.475*44/12</f>
        <v>9.7806995795026178E-2</v>
      </c>
      <c r="EX197" s="21">
        <f>EXP(-LN(2)/2)*EX196+(1-EXP(-LN(2)/2))/(LN(2)/2)*ER197*EU197*VLOOKUP('Données projet'!$B$15,Paramètres!$A$1:$I$89,3,0)*0.475*44/12</f>
        <v>2.9732052979671727E-24</v>
      </c>
      <c r="EY197" s="22">
        <f t="shared" si="181"/>
        <v>0.27780575128322016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-1.1368683772161603E-12</v>
      </c>
      <c r="FF197" s="17">
        <f>FE197*VLOOKUP('Données projet'!$B$16,Paramètres!$A$1:$I$89,3,0)*VLOOKUP('Données projet'!$B$16,Paramètres!$A$1:$I$89,5,0)</f>
        <v>-5.4683368944097316E-13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252.30925789500111</v>
      </c>
      <c r="FK197" s="59">
        <f t="shared" ref="FK197:FK203" si="211">$FK$3</f>
        <v>213.96033794804805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0.17999875548819397</v>
      </c>
      <c r="FR197" s="21">
        <f>EXP(-LN(2)/25)*FR196+(1-EXP(-LN(2)/25))/(LN(2)/25)*Calculateur!FM197*Calculateur!FO197*VLOOKUP('Données projet'!$B$16,Paramètres!$A$1:$I$89,3,0)*0.475*44/12</f>
        <v>9.7806995795026178E-2</v>
      </c>
      <c r="FS197" s="21">
        <f>EXP(-LN(2)/2)*FS196+(1-EXP(-LN(2)/2))/(LN(2)/2)*FM197*FP197*VLOOKUP('Données projet'!$B$16,Paramètres!$A$1:$I$89,3,0)*0.475*44/12</f>
        <v>2.9732052979671727E-24</v>
      </c>
      <c r="FT197" s="22">
        <f t="shared" si="184"/>
        <v>0.27780575128322016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117.54638373164624</v>
      </c>
      <c r="GF197" s="59">
        <f t="shared" ref="GF197:GF203" si="212">$GF$3</f>
        <v>133.0740262536583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8.5961346508559494E-2</v>
      </c>
      <c r="GM197" s="21">
        <f>EXP(-LN(2)/25)*GM196+(1-EXP(-LN(2)/25))/(LN(2)/25)*Calculateur!GH197*Calculateur!GJ197*VLOOKUP('Données projet'!$B$17,Paramètres!$A$1:$I$89,3,0)*0.475*44/12</f>
        <v>9.1736013822207488E-2</v>
      </c>
      <c r="GN197" s="21">
        <f>EXP(-LN(2)/2)*GN196+(1-EXP(-LN(2)/2))/(LN(2)/2)*GH197*GK197*VLOOKUP('Données projet'!$B$17,Paramètres!$A$1:$I$89,3,0)*0.475*44/12</f>
        <v>8.3659446779921877E-25</v>
      </c>
      <c r="GO197" s="21">
        <f t="shared" si="187"/>
        <v>0.177697360330767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2.8421709430404007E-14</v>
      </c>
      <c r="GV197" s="17">
        <f>GU197*VLOOKUP('Données projet'!$B$18,Paramètres!$A$1:$I$89,3,0)*VLOOKUP('Données projet'!$B$18,Paramètres!$A$1:$I$89,5,0)</f>
        <v>1.3567387213697657E-14</v>
      </c>
      <c r="GW197" s="13">
        <f t="shared" si="188"/>
        <v>2.5717320947985821E-13</v>
      </c>
      <c r="GX197" s="20">
        <f t="shared" si="189"/>
        <v>4.7153987257460977E-13</v>
      </c>
      <c r="GY197" s="59">
        <f t="shared" si="201"/>
        <v>293.33333333333377</v>
      </c>
      <c r="GZ197" s="59">
        <f ca="1">AVERAGE(OFFSET($GY$3,0,0,'Données projet'!$E$18+1,1))-AVERAGE(OFFSET($H$3,0,0,'Données projet'!$E$18+1,1))</f>
        <v>43.147469606759159</v>
      </c>
      <c r="HA197" s="59">
        <f t="shared" ref="HA197:HA203" si="213">$HA$3</f>
        <v>147.46995307968473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1.4012314274538034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1.1398124026581913E-25</v>
      </c>
      <c r="HJ197" s="22">
        <f t="shared" si="190"/>
        <v>1.4012314274538034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2.8421709430404007E-14</v>
      </c>
      <c r="O198" s="13">
        <f>N198*VLOOKUP('Données projet'!$B$9,Paramètres!$A$1:$I$89,3,0)*VLOOKUP('Données projet'!$B$9,Paramètres!$A$1:$I$89,5,0)</f>
        <v>2.5715962692629544E-14</v>
      </c>
      <c r="P198" s="13">
        <f t="shared" si="203"/>
        <v>4.5248818890525812E-13</v>
      </c>
      <c r="Q198" s="20">
        <f t="shared" si="162"/>
        <v>8.3287223069965432E-13</v>
      </c>
      <c r="R198" s="59">
        <f t="shared" si="191"/>
        <v>293.33333333333417</v>
      </c>
      <c r="S198" s="59">
        <f ca="1">AVERAGE(OFFSET($R$3,0,0,'Données projet'!$E$9+1,1))-AVERAGE(OFFSET($H$3,0,0,'Données projet'!$E$9+1,1))</f>
        <v>138.8931001150624</v>
      </c>
      <c r="T198" s="59">
        <f t="shared" si="204"/>
        <v>48.964659354096625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-7.4487616075202836E-14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191.94797389630673</v>
      </c>
      <c r="AO198" s="59">
        <f t="shared" si="205"/>
        <v>273.52540822767878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0.14481755031296928</v>
      </c>
      <c r="AW198" s="21">
        <f>EXP(-LN(2)/2)*AW197+(1-EXP(-LN(2)/2))/(LN(2)/2)*AQ198*AT198*VLOOKUP('Données projet'!$B$10,Paramètres!$A$1:$I$89,3,0)*0.475*44/12</f>
        <v>3.3928969976061973E-24</v>
      </c>
      <c r="AX198" s="21">
        <f t="shared" si="166"/>
        <v>0.24289710214486868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3.5470293369144201E-14</v>
      </c>
      <c r="BF198" s="13">
        <f t="shared" si="167"/>
        <v>6.0119115841663204E-13</v>
      </c>
      <c r="BG198" s="20">
        <f t="shared" si="168"/>
        <v>1.1088520285268936E-12</v>
      </c>
      <c r="BH198" s="59">
        <f t="shared" si="194"/>
        <v>293.33333333333445</v>
      </c>
      <c r="BI198" s="59">
        <f ca="1">AVERAGE(OFFSET($BH$3,0,0,'Données projet'!$E$11+1,1))-AVERAGE(OFFSET($H$3,0,0,'Données projet'!$E$11+1,1))</f>
        <v>162.91481796710048</v>
      </c>
      <c r="BJ198" s="59">
        <f t="shared" si="206"/>
        <v>182.56192390367823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0.10595240407947118</v>
      </c>
      <c r="BQ198" s="21">
        <f>EXP(-LN(2)/25)*BQ197+(1-EXP(-LN(2)/25))/(LN(2)/25)*Calculateur!BL198*Calculateur!BN198*VLOOKUP('Données projet'!$B$11,Paramètres!$A$1:$I$89,3,0)*0.475*44/12</f>
        <v>0.15750180186128163</v>
      </c>
      <c r="BR198" s="21">
        <f>EXP(-LN(2)/2)*BR197+(1-EXP(-LN(2)/2))/(LN(2)/2)*BL198*BO198*VLOOKUP('Données projet'!$B$11,Paramètres!$A$1:$I$89,3,0)*0.475*44/12</f>
        <v>2.6276441889923412E-24</v>
      </c>
      <c r="BS198" s="22">
        <f t="shared" si="169"/>
        <v>0.26345420594075281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-5.3205440053716299E-14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123.60520571614535</v>
      </c>
      <c r="CE198" s="59">
        <f t="shared" si="207"/>
        <v>119.00926870519527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3.3039176004245829E-2</v>
      </c>
      <c r="CL198" s="21">
        <f>EXP(-LN(2)/25)*CL197+(1-EXP(-LN(2)/25))/(LN(2)/25)*Calculateur!CG198*Calculateur!CI198*VLOOKUP('Données projet'!$B$12,Paramètres!$A$1:$I$89,3,0)*0.475*44/12</f>
        <v>4.9241954976727849E-2</v>
      </c>
      <c r="CM198" s="21">
        <f>EXP(-LN(2)/2)*CM197+(1-EXP(-LN(2)/2))/(LN(2)/2)*CG198*CJ198*VLOOKUP('Données projet'!$B$12,Paramètres!$A$1:$I$89,3,0)*0.475*44/12</f>
        <v>8.9398498988007973E-25</v>
      </c>
      <c r="CN198" s="22">
        <f t="shared" si="172"/>
        <v>8.2281130980973671E-2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2.9706370696658272E-14</v>
      </c>
      <c r="CV198" s="13">
        <f t="shared" si="173"/>
        <v>5.1399863782592153E-13</v>
      </c>
      <c r="CW198" s="20">
        <f t="shared" si="174"/>
        <v>9.4695288984349312E-13</v>
      </c>
      <c r="CX198" s="59">
        <f t="shared" si="196"/>
        <v>293.33333333333428</v>
      </c>
      <c r="CY198" s="59">
        <f ca="1">AVERAGE(OFFSET($CX$3,0,0,'Données projet'!$E$13+1,1))-AVERAGE(OFFSET($H$3,0,0,'Données projet'!$E$13+1,1))</f>
        <v>177.94336949486529</v>
      </c>
      <c r="CZ198" s="59">
        <f t="shared" si="208"/>
        <v>65.559373432574603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3.3992364478763198E-14</v>
      </c>
      <c r="DQ198" s="13">
        <f t="shared" si="176"/>
        <v>5.790027782444094E-13</v>
      </c>
      <c r="DR198" s="20">
        <f t="shared" si="177"/>
        <v>1.0676332069095257E-12</v>
      </c>
      <c r="DS198" s="59">
        <f t="shared" si="197"/>
        <v>293.33333333333439</v>
      </c>
      <c r="DT198" s="59">
        <f ca="1">AVERAGE(OFFSET($DS$3,0,0,'Données projet'!$E$14+1,1))-AVERAGE(OFFSET($H$3,0,0,'Données projet'!$E$14+1,1))</f>
        <v>165.39579887388538</v>
      </c>
      <c r="DU198" s="59">
        <f t="shared" si="209"/>
        <v>155.89639262545802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7.5142317588948071E-2</v>
      </c>
      <c r="EC198" s="21">
        <f>EXP(-LN(2)/2)*EC197+(1-EXP(-LN(2)/2))/(LN(2)/2)*DW198*DZ198*VLOOKUP('Données projet'!$B$14,Paramètres!$A$1:$I$89,3,0)*0.475*44/12</f>
        <v>2.0296256462462859E-24</v>
      </c>
      <c r="ED198" s="22">
        <f t="shared" si="178"/>
        <v>7.5142317588948071E-2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-1.1368683772161603E-12</v>
      </c>
      <c r="EK198" s="17">
        <f>EJ198*VLOOKUP('Données projet'!$B$15,Paramètres!$A$1:$I$89,3,0)*VLOOKUP('Données projet'!$B$15,Paramètres!$A$1:$I$89,5,0)</f>
        <v>-5.4683368944097316E-13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252.30925789500111</v>
      </c>
      <c r="EP198" s="59">
        <f t="shared" si="210"/>
        <v>213.96033794804805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0.17646908968147063</v>
      </c>
      <c r="EW198" s="21">
        <f>EXP(-LN(2)/25)*EW197+(1-EXP(-LN(2)/25))/(LN(2)/25)*Calculateur!ER198*Calculateur!ET198*VLOOKUP('Données projet'!$B$15,Paramètres!$A$1:$I$89,3,0)*0.475*44/12</f>
        <v>9.5132458351564822E-2</v>
      </c>
      <c r="EX198" s="21">
        <f>EXP(-LN(2)/2)*EX197+(1-EXP(-LN(2)/2))/(LN(2)/2)*ER198*EU198*VLOOKUP('Données projet'!$B$15,Paramètres!$A$1:$I$89,3,0)*0.475*44/12</f>
        <v>2.1023736280523574E-24</v>
      </c>
      <c r="EY198" s="22">
        <f t="shared" si="181"/>
        <v>0.27160154803303543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-1.1368683772161603E-12</v>
      </c>
      <c r="FF198" s="17">
        <f>FE198*VLOOKUP('Données projet'!$B$16,Paramètres!$A$1:$I$89,3,0)*VLOOKUP('Données projet'!$B$16,Paramètres!$A$1:$I$89,5,0)</f>
        <v>-5.4683368944097316E-13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252.30925789500111</v>
      </c>
      <c r="FK198" s="59">
        <f t="shared" si="211"/>
        <v>213.96033794804805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0.17646908968147063</v>
      </c>
      <c r="FR198" s="21">
        <f>EXP(-LN(2)/25)*FR197+(1-EXP(-LN(2)/25))/(LN(2)/25)*Calculateur!FM198*Calculateur!FO198*VLOOKUP('Données projet'!$B$16,Paramètres!$A$1:$I$89,3,0)*0.475*44/12</f>
        <v>9.5132458351564822E-2</v>
      </c>
      <c r="FS198" s="21">
        <f>EXP(-LN(2)/2)*FS197+(1-EXP(-LN(2)/2))/(LN(2)/2)*FM198*FP198*VLOOKUP('Données projet'!$B$16,Paramètres!$A$1:$I$89,3,0)*0.475*44/12</f>
        <v>2.1023736280523574E-24</v>
      </c>
      <c r="FT198" s="22">
        <f t="shared" si="184"/>
        <v>0.27160154803303543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117.54638373164624</v>
      </c>
      <c r="GF198" s="59">
        <f t="shared" si="212"/>
        <v>133.0740262536583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8.4275696934770855E-2</v>
      </c>
      <c r="GM198" s="21">
        <f>EXP(-LN(2)/25)*GM197+(1-EXP(-LN(2)/25))/(LN(2)/25)*Calculateur!GH198*Calculateur!GJ198*VLOOKUP('Données projet'!$B$17,Paramètres!$A$1:$I$89,3,0)*0.475*44/12</f>
        <v>8.9227487700051927E-2</v>
      </c>
      <c r="GN198" s="21">
        <f>EXP(-LN(2)/2)*GN197+(1-EXP(-LN(2)/2))/(LN(2)/2)*GH198*GK198*VLOOKUP('Données projet'!$B$17,Paramètres!$A$1:$I$89,3,0)*0.475*44/12</f>
        <v>5.9156162128397837E-25</v>
      </c>
      <c r="GO198" s="21">
        <f t="shared" si="187"/>
        <v>0.17350318463482278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2.8421709430404007E-14</v>
      </c>
      <c r="GV198" s="17">
        <f>GU198*VLOOKUP('Données projet'!$B$18,Paramètres!$A$1:$I$89,3,0)*VLOOKUP('Données projet'!$B$18,Paramètres!$A$1:$I$89,5,0)</f>
        <v>1.3567387213697657E-14</v>
      </c>
      <c r="GW198" s="13">
        <f t="shared" si="188"/>
        <v>2.5717320947985821E-13</v>
      </c>
      <c r="GX198" s="20">
        <f t="shared" si="189"/>
        <v>4.7153987257460977E-13</v>
      </c>
      <c r="GY198" s="59">
        <f t="shared" si="201"/>
        <v>293.33333333333377</v>
      </c>
      <c r="GZ198" s="59">
        <f ca="1">AVERAGE(OFFSET($GY$3,0,0,'Données projet'!$E$18+1,1))-AVERAGE(OFFSET($H$3,0,0,'Données projet'!$E$18+1,1))</f>
        <v>43.147469606759159</v>
      </c>
      <c r="HA198" s="59">
        <f t="shared" si="213"/>
        <v>147.46995307968473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1.3737541338282138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8.0596907920013867E-26</v>
      </c>
      <c r="HJ198" s="22">
        <f t="shared" si="190"/>
        <v>1.3737541338282138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2.8421709430404007E-14</v>
      </c>
      <c r="O199" s="13">
        <f>N199*VLOOKUP('Données projet'!$B$9,Paramètres!$A$1:$I$89,3,0)*VLOOKUP('Données projet'!$B$9,Paramètres!$A$1:$I$89,5,0)</f>
        <v>2.5715962692629544E-14</v>
      </c>
      <c r="P199" s="13">
        <f t="shared" si="203"/>
        <v>4.5248818890525812E-13</v>
      </c>
      <c r="Q199" s="20">
        <f t="shared" si="162"/>
        <v>8.3287223069965432E-13</v>
      </c>
      <c r="R199" s="59">
        <f t="shared" si="191"/>
        <v>293.33333333333417</v>
      </c>
      <c r="S199" s="59">
        <f ca="1">AVERAGE(OFFSET($R$3,0,0,'Données projet'!$E$9+1,1))-AVERAGE(OFFSET($H$3,0,0,'Données projet'!$E$9+1,1))</f>
        <v>138.8931001150624</v>
      </c>
      <c r="T199" s="59">
        <f t="shared" si="204"/>
        <v>48.964659354096625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-7.4487616075202836E-14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191.94797389630673</v>
      </c>
      <c r="AO199" s="59">
        <f t="shared" si="205"/>
        <v>273.52540822767878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0.14085750678403713</v>
      </c>
      <c r="AW199" s="21">
        <f>EXP(-LN(2)/2)*AW198+(1-EXP(-LN(2)/2))/(LN(2)/2)*AQ199*AT199*VLOOKUP('Données projet'!$B$10,Paramètres!$A$1:$I$89,3,0)*0.475*44/12</f>
        <v>2.3991404748748195E-24</v>
      </c>
      <c r="AX199" s="21">
        <f t="shared" si="166"/>
        <v>0.23701377842713262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3.5470293369144201E-14</v>
      </c>
      <c r="BF199" s="13">
        <f t="shared" si="167"/>
        <v>6.0119115841663204E-13</v>
      </c>
      <c r="BG199" s="20">
        <f t="shared" si="168"/>
        <v>1.1088520285268936E-12</v>
      </c>
      <c r="BH199" s="59">
        <f t="shared" si="194"/>
        <v>293.33333333333445</v>
      </c>
      <c r="BI199" s="59">
        <f ca="1">AVERAGE(OFFSET($BH$3,0,0,'Données projet'!$E$11+1,1))-AVERAGE(OFFSET($H$3,0,0,'Données projet'!$E$11+1,1))</f>
        <v>162.91481796710048</v>
      </c>
      <c r="BJ199" s="59">
        <f t="shared" si="206"/>
        <v>182.56192390367823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0.10387474206005809</v>
      </c>
      <c r="BQ199" s="21">
        <f>EXP(-LN(2)/25)*BQ198+(1-EXP(-LN(2)/25))/(LN(2)/25)*Calculateur!BL199*Calculateur!BN199*VLOOKUP('Données projet'!$B$11,Paramètres!$A$1:$I$89,3,0)*0.475*44/12</f>
        <v>0.1531949068067251</v>
      </c>
      <c r="BR199" s="21">
        <f>EXP(-LN(2)/2)*BR198+(1-EXP(-LN(2)/2))/(LN(2)/2)*BL199*BO199*VLOOKUP('Données projet'!$B$11,Paramètres!$A$1:$I$89,3,0)*0.475*44/12</f>
        <v>1.8580250245819105E-24</v>
      </c>
      <c r="BS199" s="22">
        <f t="shared" si="169"/>
        <v>0.25706964886678318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-5.3205440053716299E-14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123.60520571614535</v>
      </c>
      <c r="CE199" s="59">
        <f t="shared" si="207"/>
        <v>119.00926870519527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3.2391297914710099E-2</v>
      </c>
      <c r="CL199" s="21">
        <f>EXP(-LN(2)/25)*CL198+(1-EXP(-LN(2)/25))/(LN(2)/25)*Calculateur!CG199*Calculateur!CI199*VLOOKUP('Données projet'!$B$12,Paramètres!$A$1:$I$89,3,0)*0.475*44/12</f>
        <v>4.7895431128367361E-2</v>
      </c>
      <c r="CM199" s="21">
        <f>EXP(-LN(2)/2)*CM198+(1-EXP(-LN(2)/2))/(LN(2)/2)*CG199*CJ199*VLOOKUP('Données projet'!$B$12,Paramètres!$A$1:$I$89,3,0)*0.475*44/12</f>
        <v>6.3214284862319145E-25</v>
      </c>
      <c r="CN199" s="22">
        <f t="shared" si="172"/>
        <v>8.0286729043077459E-2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2.9706370696658272E-14</v>
      </c>
      <c r="CV199" s="13">
        <f t="shared" si="173"/>
        <v>5.1399863782592153E-13</v>
      </c>
      <c r="CW199" s="20">
        <f t="shared" si="174"/>
        <v>9.4695288984349312E-13</v>
      </c>
      <c r="CX199" s="59">
        <f t="shared" si="196"/>
        <v>293.33333333333428</v>
      </c>
      <c r="CY199" s="59">
        <f ca="1">AVERAGE(OFFSET($CX$3,0,0,'Données projet'!$E$13+1,1))-AVERAGE(OFFSET($H$3,0,0,'Données projet'!$E$13+1,1))</f>
        <v>177.94336949486529</v>
      </c>
      <c r="CZ199" s="59">
        <f t="shared" si="208"/>
        <v>65.559373432574603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3.3992364478763198E-14</v>
      </c>
      <c r="DQ199" s="13">
        <f t="shared" si="176"/>
        <v>5.790027782444094E-13</v>
      </c>
      <c r="DR199" s="20">
        <f t="shared" si="177"/>
        <v>1.0676332069095257E-12</v>
      </c>
      <c r="DS199" s="59">
        <f t="shared" si="197"/>
        <v>293.33333333333439</v>
      </c>
      <c r="DT199" s="59">
        <f ca="1">AVERAGE(OFFSET($DS$3,0,0,'Données projet'!$E$14+1,1))-AVERAGE(OFFSET($H$3,0,0,'Données projet'!$E$14+1,1))</f>
        <v>165.39579887388538</v>
      </c>
      <c r="DU199" s="59">
        <f t="shared" si="209"/>
        <v>155.89639262545802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7.3087546962915542E-2</v>
      </c>
      <c r="EC199" s="21">
        <f>EXP(-LN(2)/2)*EC198+(1-EXP(-LN(2)/2))/(LN(2)/2)*DW199*DZ199*VLOOKUP('Données projet'!$B$14,Paramètres!$A$1:$I$89,3,0)*0.475*44/12</f>
        <v>1.4351620577308776E-24</v>
      </c>
      <c r="ED199" s="22">
        <f t="shared" si="178"/>
        <v>7.3087546962915542E-2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-1.1368683772161603E-12</v>
      </c>
      <c r="EK199" s="17">
        <f>EJ199*VLOOKUP('Données projet'!$B$15,Paramètres!$A$1:$I$89,3,0)*VLOOKUP('Données projet'!$B$15,Paramètres!$A$1:$I$89,5,0)</f>
        <v>-5.4683368944097316E-13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252.30925789500111</v>
      </c>
      <c r="EP199" s="59">
        <f t="shared" si="210"/>
        <v>213.96033794804805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0.17300863846833356</v>
      </c>
      <c r="EW199" s="21">
        <f>EXP(-LN(2)/25)*EW198+(1-EXP(-LN(2)/25))/(LN(2)/25)*Calculateur!ER199*Calculateur!ET199*VLOOKUP('Données projet'!$B$15,Paramètres!$A$1:$I$89,3,0)*0.475*44/12</f>
        <v>9.2531056275142728E-2</v>
      </c>
      <c r="EX199" s="21">
        <f>EXP(-LN(2)/2)*EX198+(1-EXP(-LN(2)/2))/(LN(2)/2)*ER199*EU199*VLOOKUP('Données projet'!$B$15,Paramètres!$A$1:$I$89,3,0)*0.475*44/12</f>
        <v>1.4866026489835863E-24</v>
      </c>
      <c r="EY199" s="22">
        <f t="shared" si="181"/>
        <v>0.26553969474347627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-1.1368683772161603E-12</v>
      </c>
      <c r="FF199" s="17">
        <f>FE199*VLOOKUP('Données projet'!$B$16,Paramètres!$A$1:$I$89,3,0)*VLOOKUP('Données projet'!$B$16,Paramètres!$A$1:$I$89,5,0)</f>
        <v>-5.4683368944097316E-13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252.30925789500111</v>
      </c>
      <c r="FK199" s="59">
        <f t="shared" si="211"/>
        <v>213.96033794804805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0.17300863846833356</v>
      </c>
      <c r="FR199" s="21">
        <f>EXP(-LN(2)/25)*FR198+(1-EXP(-LN(2)/25))/(LN(2)/25)*Calculateur!FM199*Calculateur!FO199*VLOOKUP('Données projet'!$B$16,Paramètres!$A$1:$I$89,3,0)*0.475*44/12</f>
        <v>9.2531056275142728E-2</v>
      </c>
      <c r="FS199" s="21">
        <f>EXP(-LN(2)/2)*FS198+(1-EXP(-LN(2)/2))/(LN(2)/2)*FM199*FP199*VLOOKUP('Données projet'!$B$16,Paramètres!$A$1:$I$89,3,0)*0.475*44/12</f>
        <v>1.4866026489835863E-24</v>
      </c>
      <c r="FT199" s="22">
        <f t="shared" si="184"/>
        <v>0.26553969474347627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117.54638373164624</v>
      </c>
      <c r="GF199" s="59">
        <f t="shared" si="212"/>
        <v>133.0740262536583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8.2623101920979491E-2</v>
      </c>
      <c r="GM199" s="21">
        <f>EXP(-LN(2)/25)*GM198+(1-EXP(-LN(2)/25))/(LN(2)/25)*Calculateur!GH199*Calculateur!GJ199*VLOOKUP('Données projet'!$B$17,Paramètres!$A$1:$I$89,3,0)*0.475*44/12</f>
        <v>8.6787557356624356E-2</v>
      </c>
      <c r="GN199" s="21">
        <f>EXP(-LN(2)/2)*GN198+(1-EXP(-LN(2)/2))/(LN(2)/2)*GH199*GK199*VLOOKUP('Données projet'!$B$17,Paramètres!$A$1:$I$89,3,0)*0.475*44/12</f>
        <v>4.1829723389960939E-25</v>
      </c>
      <c r="GO199" s="21">
        <f t="shared" si="187"/>
        <v>0.16941065927760385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2.8421709430404007E-14</v>
      </c>
      <c r="GV199" s="17">
        <f>GU199*VLOOKUP('Données projet'!$B$18,Paramètres!$A$1:$I$89,3,0)*VLOOKUP('Données projet'!$B$18,Paramètres!$A$1:$I$89,5,0)</f>
        <v>1.3567387213697657E-14</v>
      </c>
      <c r="GW199" s="13">
        <f t="shared" si="188"/>
        <v>2.5717320947985821E-13</v>
      </c>
      <c r="GX199" s="20">
        <f t="shared" si="189"/>
        <v>4.7153987257460977E-13</v>
      </c>
      <c r="GY199" s="59">
        <f t="shared" si="201"/>
        <v>293.33333333333377</v>
      </c>
      <c r="GZ199" s="59">
        <f ca="1">AVERAGE(OFFSET($GY$3,0,0,'Données projet'!$E$18+1,1))-AVERAGE(OFFSET($H$3,0,0,'Données projet'!$E$18+1,1))</f>
        <v>43.147469606759159</v>
      </c>
      <c r="HA199" s="59">
        <f t="shared" si="213"/>
        <v>147.46995307968473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1.3468156531711277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5.6990620132909563E-26</v>
      </c>
      <c r="HJ199" s="22">
        <f t="shared" si="190"/>
        <v>1.3468156531711277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2.8421709430404007E-14</v>
      </c>
      <c r="O200" s="13">
        <f>N200*VLOOKUP('Données projet'!$B$9,Paramètres!$A$1:$I$89,3,0)*VLOOKUP('Données projet'!$B$9,Paramètres!$A$1:$I$89,5,0)</f>
        <v>2.5715962692629544E-14</v>
      </c>
      <c r="P200" s="13">
        <f t="shared" si="203"/>
        <v>4.5248818890525812E-13</v>
      </c>
      <c r="Q200" s="20">
        <f t="shared" si="162"/>
        <v>8.3287223069965432E-13</v>
      </c>
      <c r="R200" s="59">
        <f t="shared" si="191"/>
        <v>293.33333333333417</v>
      </c>
      <c r="S200" s="59">
        <f ca="1">AVERAGE(OFFSET($R$3,0,0,'Données projet'!$E$9+1,1))-AVERAGE(OFFSET($H$3,0,0,'Données projet'!$E$9+1,1))</f>
        <v>138.8931001150624</v>
      </c>
      <c r="T200" s="59">
        <f t="shared" si="204"/>
        <v>48.964659354096625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-7.4487616075202836E-14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191.94797389630673</v>
      </c>
      <c r="AO200" s="59">
        <f t="shared" si="205"/>
        <v>273.52540822767878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0.1370057508536533</v>
      </c>
      <c r="AW200" s="21">
        <f>EXP(-LN(2)/2)*AW199+(1-EXP(-LN(2)/2))/(LN(2)/2)*AQ200*AT200*VLOOKUP('Données projet'!$B$10,Paramètres!$A$1:$I$89,3,0)*0.475*44/12</f>
        <v>1.6964484988030986E-24</v>
      </c>
      <c r="AX200" s="21">
        <f t="shared" si="166"/>
        <v>0.23127645665936222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3.5470293369144201E-14</v>
      </c>
      <c r="BF200" s="13">
        <f t="shared" si="167"/>
        <v>6.0119115841663204E-13</v>
      </c>
      <c r="BG200" s="20">
        <f t="shared" si="168"/>
        <v>1.1088520285268936E-12</v>
      </c>
      <c r="BH200" s="59">
        <f t="shared" si="194"/>
        <v>293.33333333333445</v>
      </c>
      <c r="BI200" s="59">
        <f ca="1">AVERAGE(OFFSET($BH$3,0,0,'Données projet'!$E$11+1,1))-AVERAGE(OFFSET($H$3,0,0,'Données projet'!$E$11+1,1))</f>
        <v>162.91481796710048</v>
      </c>
      <c r="BJ200" s="59">
        <f t="shared" si="206"/>
        <v>182.56192390367823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0.10183782172559699</v>
      </c>
      <c r="BQ200" s="21">
        <f>EXP(-LN(2)/25)*BQ199+(1-EXP(-LN(2)/25))/(LN(2)/25)*Calculateur!BL200*Calculateur!BN200*VLOOKUP('Données projet'!$B$11,Paramètres!$A$1:$I$89,3,0)*0.475*44/12</f>
        <v>0.14900578402392517</v>
      </c>
      <c r="BR200" s="21">
        <f>EXP(-LN(2)/2)*BR199+(1-EXP(-LN(2)/2))/(LN(2)/2)*BL200*BO200*VLOOKUP('Données projet'!$B$11,Paramètres!$A$1:$I$89,3,0)*0.475*44/12</f>
        <v>1.3138220944961706E-24</v>
      </c>
      <c r="BS200" s="22">
        <f t="shared" si="169"/>
        <v>0.25084360574952214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-5.3205440053716299E-14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123.60520571614535</v>
      </c>
      <c r="CE200" s="59">
        <f t="shared" si="207"/>
        <v>119.00926870519527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3.1756124319343548E-2</v>
      </c>
      <c r="CL200" s="21">
        <f>EXP(-LN(2)/25)*CL199+(1-EXP(-LN(2)/25))/(LN(2)/25)*Calculateur!CG200*Calculateur!CI200*VLOOKUP('Données projet'!$B$12,Paramètres!$A$1:$I$89,3,0)*0.475*44/12</f>
        <v>4.65857280454509E-2</v>
      </c>
      <c r="CM200" s="21">
        <f>EXP(-LN(2)/2)*CM199+(1-EXP(-LN(2)/2))/(LN(2)/2)*CG200*CJ200*VLOOKUP('Données projet'!$B$12,Paramètres!$A$1:$I$89,3,0)*0.475*44/12</f>
        <v>4.4699249494003987E-25</v>
      </c>
      <c r="CN200" s="22">
        <f t="shared" si="172"/>
        <v>7.8341852364794448E-2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2.9706370696658272E-14</v>
      </c>
      <c r="CV200" s="13">
        <f t="shared" si="173"/>
        <v>5.1399863782592153E-13</v>
      </c>
      <c r="CW200" s="20">
        <f t="shared" si="174"/>
        <v>9.4695288984349312E-13</v>
      </c>
      <c r="CX200" s="59">
        <f t="shared" si="196"/>
        <v>293.33333333333428</v>
      </c>
      <c r="CY200" s="59">
        <f ca="1">AVERAGE(OFFSET($CX$3,0,0,'Données projet'!$E$13+1,1))-AVERAGE(OFFSET($H$3,0,0,'Données projet'!$E$13+1,1))</f>
        <v>177.94336949486529</v>
      </c>
      <c r="CZ200" s="59">
        <f t="shared" si="208"/>
        <v>65.559373432574603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3.3992364478763198E-14</v>
      </c>
      <c r="DQ200" s="13">
        <f t="shared" si="176"/>
        <v>5.790027782444094E-13</v>
      </c>
      <c r="DR200" s="20">
        <f t="shared" si="177"/>
        <v>1.0676332069095257E-12</v>
      </c>
      <c r="DS200" s="59">
        <f t="shared" si="197"/>
        <v>293.33333333333439</v>
      </c>
      <c r="DT200" s="59">
        <f ca="1">AVERAGE(OFFSET($DS$3,0,0,'Données projet'!$E$14+1,1))-AVERAGE(OFFSET($H$3,0,0,'Données projet'!$E$14+1,1))</f>
        <v>165.39579887388538</v>
      </c>
      <c r="DU200" s="59">
        <f t="shared" si="209"/>
        <v>155.89639262545802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7.1088964147707559E-2</v>
      </c>
      <c r="EC200" s="21">
        <f>EXP(-LN(2)/2)*EC199+(1-EXP(-LN(2)/2))/(LN(2)/2)*DW200*DZ200*VLOOKUP('Données projet'!$B$14,Paramètres!$A$1:$I$89,3,0)*0.475*44/12</f>
        <v>1.0148128231231429E-24</v>
      </c>
      <c r="ED200" s="22">
        <f t="shared" si="178"/>
        <v>7.1088964147707559E-2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-1.1368683772161603E-12</v>
      </c>
      <c r="EK200" s="17">
        <f>EJ200*VLOOKUP('Données projet'!$B$15,Paramètres!$A$1:$I$89,3,0)*VLOOKUP('Données projet'!$B$15,Paramètres!$A$1:$I$89,5,0)</f>
        <v>-5.4683368944097316E-13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252.30925789500111</v>
      </c>
      <c r="EP200" s="59">
        <f t="shared" si="210"/>
        <v>213.96033794804805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0.16961604459281929</v>
      </c>
      <c r="EW200" s="21">
        <f>EXP(-LN(2)/25)*EW199+(1-EXP(-LN(2)/25))/(LN(2)/25)*Calculateur!ER200*Calculateur!ET200*VLOOKUP('Données projet'!$B$15,Paramètres!$A$1:$I$89,3,0)*0.475*44/12</f>
        <v>9.0000789675302187E-2</v>
      </c>
      <c r="EX200" s="21">
        <f>EXP(-LN(2)/2)*EX199+(1-EXP(-LN(2)/2))/(LN(2)/2)*ER200*EU200*VLOOKUP('Données projet'!$B$15,Paramètres!$A$1:$I$89,3,0)*0.475*44/12</f>
        <v>1.0511868140261787E-24</v>
      </c>
      <c r="EY200" s="22">
        <f t="shared" si="181"/>
        <v>0.25961683426812149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-1.1368683772161603E-12</v>
      </c>
      <c r="FF200" s="17">
        <f>FE200*VLOOKUP('Données projet'!$B$16,Paramètres!$A$1:$I$89,3,0)*VLOOKUP('Données projet'!$B$16,Paramètres!$A$1:$I$89,5,0)</f>
        <v>-5.4683368944097316E-13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252.30925789500111</v>
      </c>
      <c r="FK200" s="59">
        <f t="shared" si="211"/>
        <v>213.96033794804805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0.16961604459281929</v>
      </c>
      <c r="FR200" s="21">
        <f>EXP(-LN(2)/25)*FR199+(1-EXP(-LN(2)/25))/(LN(2)/25)*Calculateur!FM200*Calculateur!FO200*VLOOKUP('Données projet'!$B$16,Paramètres!$A$1:$I$89,3,0)*0.475*44/12</f>
        <v>9.0000789675302187E-2</v>
      </c>
      <c r="FS200" s="21">
        <f>EXP(-LN(2)/2)*FS199+(1-EXP(-LN(2)/2))/(LN(2)/2)*FM200*FP200*VLOOKUP('Données projet'!$B$16,Paramètres!$A$1:$I$89,3,0)*0.475*44/12</f>
        <v>1.0511868140261787E-24</v>
      </c>
      <c r="FT200" s="22">
        <f t="shared" si="184"/>
        <v>0.25961683426812149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117.54638373164624</v>
      </c>
      <c r="GF200" s="59">
        <f t="shared" si="212"/>
        <v>133.0740262536583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8.1002913287425149E-2</v>
      </c>
      <c r="GM200" s="21">
        <f>EXP(-LN(2)/25)*GM199+(1-EXP(-LN(2)/25))/(LN(2)/25)*Calculateur!GH200*Calculateur!GJ200*VLOOKUP('Données projet'!$B$17,Paramètres!$A$1:$I$89,3,0)*0.475*44/12</f>
        <v>8.4414347036748175E-2</v>
      </c>
      <c r="GN200" s="21">
        <f>EXP(-LN(2)/2)*GN199+(1-EXP(-LN(2)/2))/(LN(2)/2)*GH200*GK200*VLOOKUP('Données projet'!$B$17,Paramètres!$A$1:$I$89,3,0)*0.475*44/12</f>
        <v>2.9578081064198919E-25</v>
      </c>
      <c r="GO200" s="21">
        <f t="shared" si="187"/>
        <v>0.16541726032417331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2.8421709430404007E-14</v>
      </c>
      <c r="GV200" s="17">
        <f>GU200*VLOOKUP('Données projet'!$B$18,Paramètres!$A$1:$I$89,3,0)*VLOOKUP('Données projet'!$B$18,Paramètres!$A$1:$I$89,5,0)</f>
        <v>1.3567387213697657E-14</v>
      </c>
      <c r="GW200" s="13">
        <f t="shared" si="188"/>
        <v>2.5717320947985821E-13</v>
      </c>
      <c r="GX200" s="20">
        <f t="shared" si="189"/>
        <v>4.7153987257460977E-13</v>
      </c>
      <c r="GY200" s="59">
        <f t="shared" si="201"/>
        <v>293.33333333333377</v>
      </c>
      <c r="GZ200" s="59">
        <f ca="1">AVERAGE(OFFSET($GY$3,0,0,'Données projet'!$E$18+1,1))-AVERAGE(OFFSET($H$3,0,0,'Données projet'!$E$18+1,1))</f>
        <v>43.147469606759159</v>
      </c>
      <c r="HA200" s="59">
        <f t="shared" si="213"/>
        <v>147.46995307968473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1.3204054196888764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4.0298453960006934E-26</v>
      </c>
      <c r="HJ200" s="22">
        <f t="shared" si="190"/>
        <v>1.3204054196888764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2.8421709430404007E-14</v>
      </c>
      <c r="O201" s="13">
        <f>N201*VLOOKUP('Données projet'!$B$9,Paramètres!$A$1:$I$89,3,0)*VLOOKUP('Données projet'!$B$9,Paramètres!$A$1:$I$89,5,0)</f>
        <v>2.5715962692629544E-14</v>
      </c>
      <c r="P201" s="13">
        <f t="shared" si="203"/>
        <v>4.5248818890525812E-13</v>
      </c>
      <c r="Q201" s="20">
        <f t="shared" si="162"/>
        <v>8.3287223069965432E-13</v>
      </c>
      <c r="R201" s="59">
        <f t="shared" si="191"/>
        <v>293.33333333333417</v>
      </c>
      <c r="S201" s="59">
        <f ca="1">AVERAGE(OFFSET($R$3,0,0,'Données projet'!$E$9+1,1))-AVERAGE(OFFSET($H$3,0,0,'Données projet'!$E$9+1,1))</f>
        <v>138.8931001150624</v>
      </c>
      <c r="T201" s="59">
        <f t="shared" si="204"/>
        <v>48.964659354096625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-7.4487616075202836E-14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191.94797389630673</v>
      </c>
      <c r="AO201" s="59">
        <f t="shared" si="205"/>
        <v>273.52540822767878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0.13325932139174085</v>
      </c>
      <c r="AW201" s="21">
        <f>EXP(-LN(2)/2)*AW200+(1-EXP(-LN(2)/2))/(LN(2)/2)*AQ201*AT201*VLOOKUP('Données projet'!$B$10,Paramètres!$A$1:$I$89,3,0)*0.475*44/12</f>
        <v>1.1995702374374097E-24</v>
      </c>
      <c r="AX201" s="21">
        <f t="shared" si="166"/>
        <v>0.22568143615605277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3.5470293369144201E-14</v>
      </c>
      <c r="BF201" s="13">
        <f t="shared" si="167"/>
        <v>6.0119115841663204E-13</v>
      </c>
      <c r="BG201" s="20">
        <f t="shared" si="168"/>
        <v>1.1088520285268936E-12</v>
      </c>
      <c r="BH201" s="59">
        <f t="shared" si="194"/>
        <v>293.33333333333445</v>
      </c>
      <c r="BI201" s="59">
        <f ca="1">AVERAGE(OFFSET($BH$3,0,0,'Données projet'!$E$11+1,1))-AVERAGE(OFFSET($H$3,0,0,'Données projet'!$E$11+1,1))</f>
        <v>162.91481796710048</v>
      </c>
      <c r="BJ201" s="59">
        <f t="shared" si="206"/>
        <v>182.56192390367823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9.9840844156495953E-2</v>
      </c>
      <c r="BQ201" s="21">
        <f>EXP(-LN(2)/25)*BQ200+(1-EXP(-LN(2)/25))/(LN(2)/25)*Calculateur!BL201*Calculateur!BN201*VLOOKUP('Données projet'!$B$11,Paramètres!$A$1:$I$89,3,0)*0.475*44/12</f>
        <v>0.14493121302391732</v>
      </c>
      <c r="BR201" s="21">
        <f>EXP(-LN(2)/2)*BR200+(1-EXP(-LN(2)/2))/(LN(2)/2)*BL201*BO201*VLOOKUP('Données projet'!$B$11,Paramètres!$A$1:$I$89,3,0)*0.475*44/12</f>
        <v>9.2901251229095525E-25</v>
      </c>
      <c r="BS201" s="22">
        <f t="shared" si="169"/>
        <v>0.24477205718041328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-5.3205440053716299E-14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123.60520571614535</v>
      </c>
      <c r="CE201" s="59">
        <f t="shared" si="207"/>
        <v>119.00926870519527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3.1133406090764495E-2</v>
      </c>
      <c r="CL201" s="21">
        <f>EXP(-LN(2)/25)*CL200+(1-EXP(-LN(2)/25))/(LN(2)/25)*Calculateur!CG201*Calculateur!CI201*VLOOKUP('Données projet'!$B$12,Paramètres!$A$1:$I$89,3,0)*0.475*44/12</f>
        <v>4.531183886221108E-2</v>
      </c>
      <c r="CM201" s="21">
        <f>EXP(-LN(2)/2)*CM200+(1-EXP(-LN(2)/2))/(LN(2)/2)*CG201*CJ201*VLOOKUP('Données projet'!$B$12,Paramètres!$A$1:$I$89,3,0)*0.475*44/12</f>
        <v>3.1607142431159573E-25</v>
      </c>
      <c r="CN201" s="22">
        <f t="shared" si="172"/>
        <v>7.6445244952975583E-2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2.9706370696658272E-14</v>
      </c>
      <c r="CV201" s="13">
        <f t="shared" si="173"/>
        <v>5.1399863782592153E-13</v>
      </c>
      <c r="CW201" s="20">
        <f t="shared" si="174"/>
        <v>9.4695288984349312E-13</v>
      </c>
      <c r="CX201" s="59">
        <f t="shared" si="196"/>
        <v>293.33333333333428</v>
      </c>
      <c r="CY201" s="59">
        <f ca="1">AVERAGE(OFFSET($CX$3,0,0,'Données projet'!$E$13+1,1))-AVERAGE(OFFSET($H$3,0,0,'Données projet'!$E$13+1,1))</f>
        <v>177.94336949486529</v>
      </c>
      <c r="CZ201" s="59">
        <f t="shared" si="208"/>
        <v>65.559373432574603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3.3992364478763198E-14</v>
      </c>
      <c r="DQ201" s="13">
        <f t="shared" si="176"/>
        <v>5.790027782444094E-13</v>
      </c>
      <c r="DR201" s="20">
        <f t="shared" si="177"/>
        <v>1.0676332069095257E-12</v>
      </c>
      <c r="DS201" s="59">
        <f t="shared" si="197"/>
        <v>293.33333333333439</v>
      </c>
      <c r="DT201" s="59">
        <f ca="1">AVERAGE(OFFSET($DS$3,0,0,'Données projet'!$E$14+1,1))-AVERAGE(OFFSET($H$3,0,0,'Données projet'!$E$14+1,1))</f>
        <v>165.39579887388538</v>
      </c>
      <c r="DU201" s="59">
        <f t="shared" si="209"/>
        <v>155.89639262545802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6.9145032684682348E-2</v>
      </c>
      <c r="EC201" s="21">
        <f>EXP(-LN(2)/2)*EC200+(1-EXP(-LN(2)/2))/(LN(2)/2)*DW201*DZ201*VLOOKUP('Données projet'!$B$14,Paramètres!$A$1:$I$89,3,0)*0.475*44/12</f>
        <v>7.175810288654388E-25</v>
      </c>
      <c r="ED201" s="22">
        <f t="shared" si="178"/>
        <v>6.9145032684682348E-2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-1.1368683772161603E-12</v>
      </c>
      <c r="EK201" s="17">
        <f>EJ201*VLOOKUP('Données projet'!$B$15,Paramètres!$A$1:$I$89,3,0)*VLOOKUP('Données projet'!$B$15,Paramètres!$A$1:$I$89,5,0)</f>
        <v>-5.4683368944097316E-13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252.30925789500111</v>
      </c>
      <c r="EP201" s="59">
        <f t="shared" si="210"/>
        <v>213.96033794804805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0.16628997741392593</v>
      </c>
      <c r="EW201" s="21">
        <f>EXP(-LN(2)/25)*EW200+(1-EXP(-LN(2)/25))/(LN(2)/25)*Calculateur!ER201*Calculateur!ET201*VLOOKUP('Données projet'!$B$15,Paramètres!$A$1:$I$89,3,0)*0.475*44/12</f>
        <v>8.7539713348695217E-2</v>
      </c>
      <c r="EX201" s="21">
        <f>EXP(-LN(2)/2)*EX200+(1-EXP(-LN(2)/2))/(LN(2)/2)*ER201*EU201*VLOOKUP('Données projet'!$B$15,Paramètres!$A$1:$I$89,3,0)*0.475*44/12</f>
        <v>7.4330132449179317E-25</v>
      </c>
      <c r="EY201" s="22">
        <f t="shared" si="181"/>
        <v>0.25382969076262113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-1.1368683772161603E-12</v>
      </c>
      <c r="FF201" s="17">
        <f>FE201*VLOOKUP('Données projet'!$B$16,Paramètres!$A$1:$I$89,3,0)*VLOOKUP('Données projet'!$B$16,Paramètres!$A$1:$I$89,5,0)</f>
        <v>-5.4683368944097316E-13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252.30925789500111</v>
      </c>
      <c r="FK201" s="59">
        <f t="shared" si="211"/>
        <v>213.96033794804805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0.16628997741392593</v>
      </c>
      <c r="FR201" s="21">
        <f>EXP(-LN(2)/25)*FR200+(1-EXP(-LN(2)/25))/(LN(2)/25)*Calculateur!FM201*Calculateur!FO201*VLOOKUP('Données projet'!$B$16,Paramètres!$A$1:$I$89,3,0)*0.475*44/12</f>
        <v>8.7539713348695217E-2</v>
      </c>
      <c r="FS201" s="21">
        <f>EXP(-LN(2)/2)*FS200+(1-EXP(-LN(2)/2))/(LN(2)/2)*FM201*FP201*VLOOKUP('Données projet'!$B$16,Paramètres!$A$1:$I$89,3,0)*0.475*44/12</f>
        <v>7.4330132449179317E-25</v>
      </c>
      <c r="FT201" s="22">
        <f t="shared" si="184"/>
        <v>0.25382969076262113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117.54638373164624</v>
      </c>
      <c r="GF201" s="59">
        <f t="shared" si="212"/>
        <v>133.0740262536583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7.9414495564757326E-2</v>
      </c>
      <c r="GM201" s="21">
        <f>EXP(-LN(2)/25)*GM200+(1-EXP(-LN(2)/25))/(LN(2)/25)*Calculateur!GH201*Calculateur!GJ201*VLOOKUP('Données projet'!$B$17,Paramètres!$A$1:$I$89,3,0)*0.475*44/12</f>
        <v>8.2106032277870722E-2</v>
      </c>
      <c r="GN201" s="21">
        <f>EXP(-LN(2)/2)*GN200+(1-EXP(-LN(2)/2))/(LN(2)/2)*GH201*GK201*VLOOKUP('Données projet'!$B$17,Paramètres!$A$1:$I$89,3,0)*0.475*44/12</f>
        <v>2.0914861694980469E-25</v>
      </c>
      <c r="GO201" s="21">
        <f t="shared" si="187"/>
        <v>0.16152052784262805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2.8421709430404007E-14</v>
      </c>
      <c r="GV201" s="17">
        <f>GU201*VLOOKUP('Données projet'!$B$18,Paramètres!$A$1:$I$89,3,0)*VLOOKUP('Données projet'!$B$18,Paramètres!$A$1:$I$89,5,0)</f>
        <v>1.3567387213697657E-14</v>
      </c>
      <c r="GW201" s="13">
        <f t="shared" si="188"/>
        <v>2.5717320947985821E-13</v>
      </c>
      <c r="GX201" s="20">
        <f t="shared" si="189"/>
        <v>4.7153987257460977E-13</v>
      </c>
      <c r="GY201" s="59">
        <f t="shared" si="201"/>
        <v>293.33333333333377</v>
      </c>
      <c r="GZ201" s="59">
        <f ca="1">AVERAGE(OFFSET($GY$3,0,0,'Données projet'!$E$18+1,1))-AVERAGE(OFFSET($H$3,0,0,'Données projet'!$E$18+1,1))</f>
        <v>43.147469606759159</v>
      </c>
      <c r="HA201" s="59">
        <f t="shared" si="213"/>
        <v>147.46995307968473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1.2945130747765601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2.8495310066454781E-26</v>
      </c>
      <c r="HJ201" s="22">
        <f t="shared" si="190"/>
        <v>1.2945130747765601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2.8421709430404007E-14</v>
      </c>
      <c r="O202" s="13">
        <f>N202*VLOOKUP('Données projet'!$B$9,Paramètres!$A$1:$I$89,3,0)*VLOOKUP('Données projet'!$B$9,Paramètres!$A$1:$I$89,5,0)</f>
        <v>2.5715962692629544E-14</v>
      </c>
      <c r="P202" s="13">
        <f t="shared" si="203"/>
        <v>4.5248818890525812E-13</v>
      </c>
      <c r="Q202" s="20">
        <f t="shared" si="162"/>
        <v>8.3287223069965432E-13</v>
      </c>
      <c r="R202" s="59">
        <f t="shared" si="191"/>
        <v>293.33333333333417</v>
      </c>
      <c r="S202" s="59">
        <f ca="1">AVERAGE(OFFSET($R$3,0,0,'Données projet'!$E$9+1,1))-AVERAGE(OFFSET($H$3,0,0,'Données projet'!$E$9+1,1))</f>
        <v>138.8931001150624</v>
      </c>
      <c r="T202" s="59">
        <f t="shared" si="204"/>
        <v>48.964659354096625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-7.4487616075202836E-14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191.94797389630673</v>
      </c>
      <c r="AO202" s="59">
        <f t="shared" si="205"/>
        <v>273.52540822767878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0.12961533824048055</v>
      </c>
      <c r="AW202" s="21">
        <f>EXP(-LN(2)/2)*AW201+(1-EXP(-LN(2)/2))/(LN(2)/2)*AQ202*AT202*VLOOKUP('Données projet'!$B$10,Paramètres!$A$1:$I$89,3,0)*0.475*44/12</f>
        <v>8.4822424940154932E-25</v>
      </c>
      <c r="AX202" s="21">
        <f t="shared" si="166"/>
        <v>0.22022511170618805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3.5470293369144201E-14</v>
      </c>
      <c r="BF202" s="13">
        <f t="shared" si="167"/>
        <v>6.0119115841663204E-13</v>
      </c>
      <c r="BG202" s="20">
        <f t="shared" si="168"/>
        <v>1.1088520285268936E-12</v>
      </c>
      <c r="BH202" s="59">
        <f t="shared" si="194"/>
        <v>293.33333333333445</v>
      </c>
      <c r="BI202" s="59">
        <f ca="1">AVERAGE(OFFSET($BH$3,0,0,'Données projet'!$E$11+1,1))-AVERAGE(OFFSET($H$3,0,0,'Données projet'!$E$11+1,1))</f>
        <v>162.91481796710048</v>
      </c>
      <c r="BJ202" s="59">
        <f t="shared" si="206"/>
        <v>182.56192390367823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9.7883026099488929E-2</v>
      </c>
      <c r="BQ202" s="21">
        <f>EXP(-LN(2)/25)*BQ201+(1-EXP(-LN(2)/25))/(LN(2)/25)*Calculateur!BL202*Calculateur!BN202*VLOOKUP('Données projet'!$B$11,Paramètres!$A$1:$I$89,3,0)*0.475*44/12</f>
        <v>0.14096806138217705</v>
      </c>
      <c r="BR202" s="21">
        <f>EXP(-LN(2)/2)*BR201+(1-EXP(-LN(2)/2))/(LN(2)/2)*BL202*BO202*VLOOKUP('Données projet'!$B$11,Paramètres!$A$1:$I$89,3,0)*0.475*44/12</f>
        <v>6.569110472480853E-25</v>
      </c>
      <c r="BS202" s="22">
        <f t="shared" si="169"/>
        <v>0.23885108748166597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-5.3205440053716299E-14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123.60520571614535</v>
      </c>
      <c r="CE202" s="59">
        <f t="shared" si="207"/>
        <v>119.00926870519527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3.0522898986827262E-2</v>
      </c>
      <c r="CL202" s="21">
        <f>EXP(-LN(2)/25)*CL201+(1-EXP(-LN(2)/25))/(LN(2)/25)*Calculateur!CG202*Calculateur!CI202*VLOOKUP('Données projet'!$B$12,Paramètres!$A$1:$I$89,3,0)*0.475*44/12</f>
        <v>4.4072784245677878E-2</v>
      </c>
      <c r="CM202" s="21">
        <f>EXP(-LN(2)/2)*CM201+(1-EXP(-LN(2)/2))/(LN(2)/2)*CG202*CJ202*VLOOKUP('Données projet'!$B$12,Paramètres!$A$1:$I$89,3,0)*0.475*44/12</f>
        <v>2.2349624747001993E-25</v>
      </c>
      <c r="CN202" s="22">
        <f t="shared" si="172"/>
        <v>7.4595683232505136E-2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2.9706370696658272E-14</v>
      </c>
      <c r="CV202" s="13">
        <f t="shared" si="173"/>
        <v>5.1399863782592153E-13</v>
      </c>
      <c r="CW202" s="20">
        <f t="shared" si="174"/>
        <v>9.4695288984349312E-13</v>
      </c>
      <c r="CX202" s="59">
        <f t="shared" si="196"/>
        <v>293.33333333333428</v>
      </c>
      <c r="CY202" s="59">
        <f ca="1">AVERAGE(OFFSET($CX$3,0,0,'Données projet'!$E$13+1,1))-AVERAGE(OFFSET($H$3,0,0,'Données projet'!$E$13+1,1))</f>
        <v>177.94336949486529</v>
      </c>
      <c r="CZ202" s="59">
        <f t="shared" si="208"/>
        <v>65.559373432574603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3.3992364478763198E-14</v>
      </c>
      <c r="DQ202" s="13">
        <f t="shared" si="176"/>
        <v>5.790027782444094E-13</v>
      </c>
      <c r="DR202" s="20">
        <f t="shared" si="177"/>
        <v>1.0676332069095257E-12</v>
      </c>
      <c r="DS202" s="59">
        <f t="shared" si="197"/>
        <v>293.33333333333439</v>
      </c>
      <c r="DT202" s="59">
        <f ca="1">AVERAGE(OFFSET($DS$3,0,0,'Données projet'!$E$14+1,1))-AVERAGE(OFFSET($H$3,0,0,'Données projet'!$E$14+1,1))</f>
        <v>165.39579887388538</v>
      </c>
      <c r="DU202" s="59">
        <f t="shared" si="209"/>
        <v>155.89639262545802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6.725425812974048E-2</v>
      </c>
      <c r="EC202" s="21">
        <f>EXP(-LN(2)/2)*EC201+(1-EXP(-LN(2)/2))/(LN(2)/2)*DW202*DZ202*VLOOKUP('Données projet'!$B$14,Paramètres!$A$1:$I$89,3,0)*0.475*44/12</f>
        <v>5.0740641156157147E-25</v>
      </c>
      <c r="ED202" s="22">
        <f t="shared" si="178"/>
        <v>6.725425812974048E-2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-1.1368683772161603E-12</v>
      </c>
      <c r="EK202" s="17">
        <f>EJ202*VLOOKUP('Données projet'!$B$15,Paramètres!$A$1:$I$89,3,0)*VLOOKUP('Données projet'!$B$15,Paramètres!$A$1:$I$89,5,0)</f>
        <v>-5.4683368944097316E-13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252.30925789500111</v>
      </c>
      <c r="EP202" s="59">
        <f t="shared" si="210"/>
        <v>213.96033794804805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0.16302913238371</v>
      </c>
      <c r="EW202" s="21">
        <f>EXP(-LN(2)/25)*EW201+(1-EXP(-LN(2)/25))/(LN(2)/25)*Calculateur!ER202*Calculateur!ET202*VLOOKUP('Données projet'!$B$15,Paramètres!$A$1:$I$89,3,0)*0.475*44/12</f>
        <v>8.5145935283661697E-2</v>
      </c>
      <c r="EX202" s="21">
        <f>EXP(-LN(2)/2)*EX201+(1-EXP(-LN(2)/2))/(LN(2)/2)*ER202*EU202*VLOOKUP('Données projet'!$B$15,Paramètres!$A$1:$I$89,3,0)*0.475*44/12</f>
        <v>5.2559340701308934E-25</v>
      </c>
      <c r="EY202" s="22">
        <f t="shared" si="181"/>
        <v>0.24817506766737168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-1.1368683772161603E-12</v>
      </c>
      <c r="FF202" s="17">
        <f>FE202*VLOOKUP('Données projet'!$B$16,Paramètres!$A$1:$I$89,3,0)*VLOOKUP('Données projet'!$B$16,Paramètres!$A$1:$I$89,5,0)</f>
        <v>-5.4683368944097316E-13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252.30925789500111</v>
      </c>
      <c r="FK202" s="59">
        <f t="shared" si="211"/>
        <v>213.96033794804805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0.16302913238371</v>
      </c>
      <c r="FR202" s="21">
        <f>EXP(-LN(2)/25)*FR201+(1-EXP(-LN(2)/25))/(LN(2)/25)*Calculateur!FM202*Calculateur!FO202*VLOOKUP('Données projet'!$B$16,Paramètres!$A$1:$I$89,3,0)*0.475*44/12</f>
        <v>8.5145935283661697E-2</v>
      </c>
      <c r="FS202" s="21">
        <f>EXP(-LN(2)/2)*FS201+(1-EXP(-LN(2)/2))/(LN(2)/2)*FM202*FP202*VLOOKUP('Données projet'!$B$16,Paramètres!$A$1:$I$89,3,0)*0.475*44/12</f>
        <v>5.2559340701308934E-25</v>
      </c>
      <c r="FT202" s="22">
        <f t="shared" si="184"/>
        <v>0.24817506766737168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117.54638373164624</v>
      </c>
      <c r="GF202" s="59">
        <f t="shared" si="212"/>
        <v>133.0740262536583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7.7857225744791869E-2</v>
      </c>
      <c r="GM202" s="21">
        <f>EXP(-LN(2)/25)*GM201+(1-EXP(-LN(2)/25))/(LN(2)/25)*Calculateur!GH202*Calculateur!GJ202*VLOOKUP('Données projet'!$B$17,Paramètres!$A$1:$I$89,3,0)*0.475*44/12</f>
        <v>7.9860838507463769E-2</v>
      </c>
      <c r="GN202" s="21">
        <f>EXP(-LN(2)/2)*GN201+(1-EXP(-LN(2)/2))/(LN(2)/2)*GH202*GK202*VLOOKUP('Données projet'!$B$17,Paramètres!$A$1:$I$89,3,0)*0.475*44/12</f>
        <v>1.4789040532099459E-25</v>
      </c>
      <c r="GO202" s="21">
        <f t="shared" si="187"/>
        <v>0.15771806425225565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2.8421709430404007E-14</v>
      </c>
      <c r="GV202" s="17">
        <f>GU202*VLOOKUP('Données projet'!$B$18,Paramètres!$A$1:$I$89,3,0)*VLOOKUP('Données projet'!$B$18,Paramètres!$A$1:$I$89,5,0)</f>
        <v>1.3567387213697657E-14</v>
      </c>
      <c r="GW202" s="13">
        <f t="shared" si="188"/>
        <v>2.5717320947985821E-13</v>
      </c>
      <c r="GX202" s="20">
        <f t="shared" si="189"/>
        <v>4.7153987257460977E-13</v>
      </c>
      <c r="GY202" s="59">
        <f t="shared" si="201"/>
        <v>293.33333333333377</v>
      </c>
      <c r="GZ202" s="59">
        <f ca="1">AVERAGE(OFFSET($GY$3,0,0,'Données projet'!$E$18+1,1))-AVERAGE(OFFSET($H$3,0,0,'Données projet'!$E$18+1,1))</f>
        <v>43.147469606759159</v>
      </c>
      <c r="HA202" s="59">
        <f t="shared" si="213"/>
        <v>147.46995307968473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1.2691284629552033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2.0149226980003467E-26</v>
      </c>
      <c r="HJ202" s="22">
        <f t="shared" si="190"/>
        <v>1.2691284629552033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2.8421709430404007E-14</v>
      </c>
      <c r="O203" s="13">
        <f>N203*VLOOKUP('Données projet'!$B$9,Paramètres!$A$1:$I$89,3,0)*VLOOKUP('Données projet'!$B$9,Paramètres!$A$1:$I$89,5,0)</f>
        <v>2.5715962692629544E-14</v>
      </c>
      <c r="P203" s="13">
        <f t="shared" si="203"/>
        <v>4.5248818890525812E-13</v>
      </c>
      <c r="Q203" s="20">
        <f t="shared" si="162"/>
        <v>8.3287223069965432E-13</v>
      </c>
      <c r="R203" s="59">
        <f t="shared" si="191"/>
        <v>293.33333333333417</v>
      </c>
      <c r="S203" s="59">
        <f ca="1">AVERAGE(OFFSET($R$3,0,0,'Données projet'!$E$9+1,1))-AVERAGE(OFFSET($H$3,0,0,'Données projet'!$E$9+1,1))</f>
        <v>138.8931001150624</v>
      </c>
      <c r="T203" s="59">
        <f t="shared" si="204"/>
        <v>48.964659354096625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-7.4487616075202836E-14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191.94797389630673</v>
      </c>
      <c r="AO203" s="59">
        <f t="shared" si="205"/>
        <v>273.52540822767878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0.1260710000001202</v>
      </c>
      <c r="AW203" s="21">
        <f>EXP(-LN(2)/2)*AW202+(1-EXP(-LN(2)/2))/(LN(2)/2)*AQ203*AT203*VLOOKUP('Données projet'!$B$10,Paramètres!$A$1:$I$89,3,0)*0.475*44/12</f>
        <v>5.9978511871870487E-25</v>
      </c>
      <c r="AX203" s="21">
        <f t="shared" si="166"/>
        <v>0.21490397107466988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3.5470293369144201E-14</v>
      </c>
      <c r="BF203" s="13">
        <f t="shared" si="167"/>
        <v>6.0119115841663204E-13</v>
      </c>
      <c r="BG203" s="20">
        <f t="shared" si="168"/>
        <v>1.1088520285268936E-12</v>
      </c>
      <c r="BH203" s="59">
        <f t="shared" si="194"/>
        <v>293.33333333333445</v>
      </c>
      <c r="BI203" s="59">
        <f ca="1">AVERAGE(OFFSET($BH$3,0,0,'Données projet'!$E$11+1,1))-AVERAGE(OFFSET($H$3,0,0,'Données projet'!$E$11+1,1))</f>
        <v>162.91481796710048</v>
      </c>
      <c r="BJ203" s="59">
        <f t="shared" si="206"/>
        <v>182.56192390367823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9.5963599660428708E-2</v>
      </c>
      <c r="BQ203" s="21">
        <f>EXP(-LN(2)/25)*BQ202+(1-EXP(-LN(2)/25))/(LN(2)/25)*Calculateur!BL203*Calculateur!BN203*VLOOKUP('Données projet'!$B$11,Paramètres!$A$1:$I$89,3,0)*0.475*44/12</f>
        <v>0.13711328233049325</v>
      </c>
      <c r="BR203" s="21">
        <f>EXP(-LN(2)/2)*BR202+(1-EXP(-LN(2)/2))/(LN(2)/2)*BL203*BO203*VLOOKUP('Données projet'!$B$11,Paramètres!$A$1:$I$89,3,0)*0.475*44/12</f>
        <v>4.6450625614547762E-25</v>
      </c>
      <c r="BS203" s="22">
        <f t="shared" si="169"/>
        <v>0.23307688199092197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-5.3205440053716299E-14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123.60520571614535</v>
      </c>
      <c r="CE203" s="59">
        <f t="shared" si="207"/>
        <v>119.00926870519527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2.9924363554825674E-2</v>
      </c>
      <c r="CL203" s="21">
        <f>EXP(-LN(2)/25)*CL202+(1-EXP(-LN(2)/25))/(LN(2)/25)*Calculateur!CG203*Calculateur!CI203*VLOOKUP('Données projet'!$B$12,Paramètres!$A$1:$I$89,3,0)*0.475*44/12</f>
        <v>4.2867611642792819E-2</v>
      </c>
      <c r="CM203" s="21">
        <f>EXP(-LN(2)/2)*CM202+(1-EXP(-LN(2)/2))/(LN(2)/2)*CG203*CJ203*VLOOKUP('Données projet'!$B$12,Paramètres!$A$1:$I$89,3,0)*0.475*44/12</f>
        <v>1.5803571215579786E-25</v>
      </c>
      <c r="CN203" s="22">
        <f t="shared" si="172"/>
        <v>7.2791975197618486E-2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2.9706370696658272E-14</v>
      </c>
      <c r="CV203" s="13">
        <f t="shared" si="173"/>
        <v>5.1399863782592153E-13</v>
      </c>
      <c r="CW203" s="20">
        <f t="shared" si="174"/>
        <v>9.4695288984349312E-13</v>
      </c>
      <c r="CX203" s="59">
        <f t="shared" si="196"/>
        <v>293.33333333333428</v>
      </c>
      <c r="CY203" s="59">
        <f ca="1">AVERAGE(OFFSET($CX$3,0,0,'Données projet'!$E$13+1,1))-AVERAGE(OFFSET($H$3,0,0,'Données projet'!$E$13+1,1))</f>
        <v>177.94336949486529</v>
      </c>
      <c r="CZ203" s="59">
        <f t="shared" si="208"/>
        <v>65.559373432574603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3.3992364478763198E-14</v>
      </c>
      <c r="DQ203" s="13">
        <f t="shared" si="176"/>
        <v>5.790027782444094E-13</v>
      </c>
      <c r="DR203" s="20">
        <f t="shared" si="177"/>
        <v>1.0676332069095257E-12</v>
      </c>
      <c r="DS203" s="59">
        <f t="shared" si="197"/>
        <v>293.33333333333439</v>
      </c>
      <c r="DT203" s="59">
        <f ca="1">AVERAGE(OFFSET($DS$3,0,0,'Données projet'!$E$14+1,1))-AVERAGE(OFFSET($H$3,0,0,'Données projet'!$E$14+1,1))</f>
        <v>165.39579887388538</v>
      </c>
      <c r="DU203" s="59">
        <f t="shared" si="209"/>
        <v>155.89639262545802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6.5415186904434999E-2</v>
      </c>
      <c r="EC203" s="21">
        <f>EXP(-LN(2)/2)*EC202+(1-EXP(-LN(2)/2))/(LN(2)/2)*DW203*DZ203*VLOOKUP('Données projet'!$B$14,Paramètres!$A$1:$I$89,3,0)*0.475*44/12</f>
        <v>3.587905144327194E-25</v>
      </c>
      <c r="ED203" s="22">
        <f t="shared" si="178"/>
        <v>6.5415186904434999E-2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-1.1368683772161603E-12</v>
      </c>
      <c r="EK203" s="17">
        <f>EJ203*VLOOKUP('Données projet'!$B$15,Paramètres!$A$1:$I$89,3,0)*VLOOKUP('Données projet'!$B$15,Paramètres!$A$1:$I$89,5,0)</f>
        <v>-5.4683368944097316E-13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252.30925789500111</v>
      </c>
      <c r="EP203" s="59">
        <f t="shared" si="210"/>
        <v>213.96033794804805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0.15983223053561751</v>
      </c>
      <c r="EW203" s="21">
        <f>EXP(-LN(2)/25)*EW202+(1-EXP(-LN(2)/25))/(LN(2)/25)*Calculateur!ER203*Calculateur!ET203*VLOOKUP('Données projet'!$B$15,Paramètres!$A$1:$I$89,3,0)*0.475*44/12</f>
        <v>8.2817615205699829E-2</v>
      </c>
      <c r="EX203" s="21">
        <f>EXP(-LN(2)/2)*EX202+(1-EXP(-LN(2)/2))/(LN(2)/2)*ER203*EU203*VLOOKUP('Données projet'!$B$15,Paramètres!$A$1:$I$89,3,0)*0.475*44/12</f>
        <v>3.7165066224589658E-25</v>
      </c>
      <c r="EY203" s="22">
        <f t="shared" si="181"/>
        <v>0.24264984574131734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-1.1368683772161603E-12</v>
      </c>
      <c r="FF203" s="17">
        <f>FE203*VLOOKUP('Données projet'!$B$16,Paramètres!$A$1:$I$89,3,0)*VLOOKUP('Données projet'!$B$16,Paramètres!$A$1:$I$89,5,0)</f>
        <v>-5.4683368944097316E-13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252.30925789500111</v>
      </c>
      <c r="FK203" s="59">
        <f t="shared" si="211"/>
        <v>213.96033794804805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0.15983223053561751</v>
      </c>
      <c r="FR203" s="21">
        <f>EXP(-LN(2)/25)*FR202+(1-EXP(-LN(2)/25))/(LN(2)/25)*Calculateur!FM203*Calculateur!FO203*VLOOKUP('Données projet'!$B$16,Paramètres!$A$1:$I$89,3,0)*0.475*44/12</f>
        <v>8.2817615205699829E-2</v>
      </c>
      <c r="FS203" s="21">
        <f>EXP(-LN(2)/2)*FS202+(1-EXP(-LN(2)/2))/(LN(2)/2)*FM203*FP203*VLOOKUP('Données projet'!$B$16,Paramètres!$A$1:$I$89,3,0)*0.475*44/12</f>
        <v>3.7165066224589658E-25</v>
      </c>
      <c r="FT203" s="22">
        <f t="shared" si="184"/>
        <v>0.24264984574131734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117.54638373164624</v>
      </c>
      <c r="GF203" s="59">
        <f t="shared" si="212"/>
        <v>133.0740262536583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7.6330493036155134E-2</v>
      </c>
      <c r="GM203" s="21">
        <f>EXP(-LN(2)/25)*GM202+(1-EXP(-LN(2)/25))/(LN(2)/25)*Calculateur!GH203*Calculateur!GJ203*VLOOKUP('Données projet'!$B$17,Paramètres!$A$1:$I$89,3,0)*0.475*44/12</f>
        <v>7.7677039678778204E-2</v>
      </c>
      <c r="GN203" s="21">
        <f>EXP(-LN(2)/2)*GN202+(1-EXP(-LN(2)/2))/(LN(2)/2)*GH203*GK203*VLOOKUP('Données projet'!$B$17,Paramètres!$A$1:$I$89,3,0)*0.475*44/12</f>
        <v>1.0457430847490235E-25</v>
      </c>
      <c r="GO203" s="21">
        <f t="shared" si="187"/>
        <v>0.15400753271493334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2.8421709430404007E-14</v>
      </c>
      <c r="GV203" s="17">
        <f>GU203*VLOOKUP('Données projet'!$B$18,Paramètres!$A$1:$I$89,3,0)*VLOOKUP('Données projet'!$B$18,Paramètres!$A$1:$I$89,5,0)</f>
        <v>1.3567387213697657E-14</v>
      </c>
      <c r="GW203" s="13">
        <f t="shared" si="188"/>
        <v>2.5717320947985821E-13</v>
      </c>
      <c r="GX203" s="20">
        <f t="shared" si="189"/>
        <v>4.7153987257460977E-13</v>
      </c>
      <c r="GY203" s="59">
        <f t="shared" si="201"/>
        <v>293.33333333333377</v>
      </c>
      <c r="GZ203" s="59">
        <f ca="1">AVERAGE(OFFSET($GY$3,0,0,'Données projet'!$E$18+1,1))-AVERAGE(OFFSET($H$3,0,0,'Données projet'!$E$18+1,1))</f>
        <v>43.147469606759159</v>
      </c>
      <c r="HA203" s="59">
        <f t="shared" si="213"/>
        <v>147.46995307968473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1.2442416278885791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1.4247655033227391E-26</v>
      </c>
      <c r="HJ203" s="22">
        <f t="shared" si="190"/>
        <v>1.2442416278885791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1.1457367676485573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1.2620003197767753</v>
      </c>
      <c r="BA205" s="82">
        <f>EXP(LN('Données projet'!B88)/'Données projet'!A88)</f>
        <v>1.2457309396155174</v>
      </c>
      <c r="BV205" s="82">
        <f>EXP(LN('Données projet'!B114)/'Données projet'!A114)</f>
        <v>1.2677537154322802</v>
      </c>
      <c r="CQ205" s="82">
        <f>EXP(LN('Données projet'!B140)/'Données projet'!A140)</f>
        <v>1.1457367676485573</v>
      </c>
      <c r="DL205" s="82">
        <f>EXP(LN('Données projet'!B166)/'Données projet'!A166)</f>
        <v>1.2291916021073213</v>
      </c>
      <c r="EG205" s="82">
        <f>EXP(LN('Données projet'!B192)/'Données projet'!A192)</f>
        <v>1.2366730653835798</v>
      </c>
      <c r="FB205" s="82">
        <f>EXP(LN('Données projet'!B218)/'Données projet'!A218)</f>
        <v>1.2366730653835798</v>
      </c>
      <c r="FW205" s="82">
        <f>EXP(LN('Données projet'!B244)/'Données projet'!A244)</f>
        <v>1.3076604860118306</v>
      </c>
      <c r="GR205" s="82">
        <f>EXP(LN('Données projet'!B270)/'Données projet'!A270)</f>
        <v>1.3797296614612147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16.598400000000002</v>
      </c>
      <c r="C6" s="147">
        <f ca="1">IF(OR('Données projet'!B9="",'Données projet'!C9="",'Données projet'!C9=0%),0,Calculateur!S3)</f>
        <v>138.8931001150624</v>
      </c>
      <c r="D6" s="147">
        <f>IF(OR('Données projet'!B9="",'Données projet'!C9="",'Données projet'!C9=0%),0,Calculateur!T3)</f>
        <v>48.964659354096625</v>
      </c>
      <c r="E6" s="147">
        <f ca="1">MIN(C6,D6)</f>
        <v>48.964659354096625</v>
      </c>
      <c r="F6" s="147">
        <f ca="1">E6*B6</f>
        <v>812.73500182303746</v>
      </c>
      <c r="G6" s="147">
        <f ca="1">F6*(100%-'Données projet'!$C$24)*(100%-'Données projet'!$C$25)*(100%-'Données projet'!$C$26)*(100%-'Données projet'!$C$27)</f>
        <v>731.46150164073379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731.46150164073379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9.5760000000000005</v>
      </c>
      <c r="C7" s="147">
        <f ca="1">IF(OR('Données projet'!B10="",'Données projet'!C10="",'Données projet'!C10=0%),0,Calculateur!AN3)</f>
        <v>191.94797389630673</v>
      </c>
      <c r="D7" s="147">
        <f>IF(OR('Données projet'!B10="",'Données projet'!C10="",'Données projet'!C10=0%),0,Calculateur!AO3)</f>
        <v>273.52540822767878</v>
      </c>
      <c r="E7" s="147">
        <f t="shared" ref="E7:E15" ca="1" si="0">MIN(C7,D7)</f>
        <v>191.94797389630673</v>
      </c>
      <c r="F7" s="147">
        <f t="shared" ref="F7:F15" ca="1" si="1">E7*B7</f>
        <v>1838.0937980310334</v>
      </c>
      <c r="G7" s="147">
        <f ca="1">F7*(100%-'Données projet'!$C$24)*(100%-'Données projet'!$C$25)*(100%-'Données projet'!$C$26)*(100%-'Données projet'!$C$27)</f>
        <v>1654.28441822793</v>
      </c>
      <c r="H7" s="155">
        <f>IF(OR('Données projet'!B10="",'Données projet'!C10="",'Données projet'!C10=0%),0,AVERAGE(Calculateur!$AX$3:$AX$33)*B7)</f>
        <v>28.091025923553019</v>
      </c>
      <c r="I7" s="149">
        <f>H7*(100%-'Données projet'!$C$24)*(100%-'Données projet'!$C$25)*(100%-'Données projet'!$C$26)*(100%-'Données projet'!$C$27)</f>
        <v>25.281923331197717</v>
      </c>
      <c r="J7" s="150">
        <f>IF(OR('Données projet'!B10="",'Données projet'!C10="",'Données projet'!C10=0%),0,SUM(Calculateur!$AQ$3:$AQ$33)*VLOOKUP('Données projet'!$B$10,Paramètres!$A$1:$I$89,9,0)*B7)</f>
        <v>225.036</v>
      </c>
      <c r="K7" s="151">
        <f>J7*(100%-'Données projet'!$C$24)*(100%-'Données projet'!$C$25)*(100%-'Données projet'!$C$26)*(100%-'Données projet'!$C$27)</f>
        <v>202.5324</v>
      </c>
      <c r="L7" s="152">
        <f t="shared" ref="L7:L15" ca="1" si="2">G7+I7+K7</f>
        <v>1882.0987415591278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1.9152</v>
      </c>
      <c r="C8" s="147">
        <f ca="1">IF(OR('Données projet'!B11="",'Données projet'!C11="",'Données projet'!C11=0%),0,Calculateur!BI3)</f>
        <v>162.91481796710048</v>
      </c>
      <c r="D8" s="147">
        <f>IF(OR('Données projet'!B11="",'Données projet'!C11="",'Données projet'!C11=0%),0,Calculateur!BJ3)</f>
        <v>182.56192390367823</v>
      </c>
      <c r="E8" s="147">
        <f t="shared" ca="1" si="0"/>
        <v>162.91481796710048</v>
      </c>
      <c r="F8" s="147">
        <f t="shared" ca="1" si="1"/>
        <v>312.01445937059083</v>
      </c>
      <c r="G8" s="147">
        <f ca="1">F8*(100%-'Données projet'!$C$24)*(100%-'Données projet'!$C$25)*(100%-'Données projet'!$C$26)*(100%-'Données projet'!$C$27)</f>
        <v>280.81301343353175</v>
      </c>
      <c r="H8" s="155">
        <f>IF(OR('Données projet'!B11="",'Données projet'!C11="",'Données projet'!C11=0%),0,AVERAGE(Calculateur!$BS$3:$BS$33)*B8)</f>
        <v>5.3385145579659365</v>
      </c>
      <c r="I8" s="149">
        <f>H8*(100%-'Données projet'!$C$24)*(100%-'Données projet'!$C$25)*(100%-'Données projet'!$C$26)*(100%-'Données projet'!$C$27)</f>
        <v>4.8046631021693429</v>
      </c>
      <c r="J8" s="150">
        <f>IF(OR('Données projet'!B11="",'Données projet'!C11="",'Données projet'!C11=0%),0,SUM(Calculateur!$BL$3:$BL$33)*VLOOKUP('Données projet'!$B$11,Paramètres!$A$1:$I$89,9,0)*B8)</f>
        <v>58.471056000000004</v>
      </c>
      <c r="K8" s="151">
        <f>J8*(100%-'Données projet'!$C$24)*(100%-'Données projet'!$C$25)*(100%-'Données projet'!$C$26)*(100%-'Données projet'!$C$27)</f>
        <v>52.623950400000005</v>
      </c>
      <c r="L8" s="152">
        <f t="shared" ca="1" si="2"/>
        <v>338.24162693570111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1.9152</v>
      </c>
      <c r="C9" s="147">
        <f ca="1">IF(OR('Données projet'!B12="",'Données projet'!C12="",'Données projet'!C12=0%),0,Calculateur!CD3)</f>
        <v>123.60520571614535</v>
      </c>
      <c r="D9" s="147">
        <f>IF(OR('Données projet'!B12="",'Données projet'!C12="",'Données projet'!C12=0%),0,Calculateur!CE3)</f>
        <v>119.00926870519527</v>
      </c>
      <c r="E9" s="147">
        <f t="shared" ca="1" si="0"/>
        <v>119.00926870519527</v>
      </c>
      <c r="F9" s="147">
        <f t="shared" ca="1" si="1"/>
        <v>227.92655142418997</v>
      </c>
      <c r="G9" s="147">
        <f ca="1">F9*(100%-'Données projet'!$C$24)*(100%-'Données projet'!$C$25)*(100%-'Données projet'!$C$26)*(100%-'Données projet'!$C$27)</f>
        <v>205.13389628177097</v>
      </c>
      <c r="H9" s="155">
        <f>IF(OR('Données projet'!B12="",'Données projet'!C12="",'Données projet'!C12=0%),0,AVERAGE(Calculateur!$CN$3:$CN$33)*B9)</f>
        <v>1.7418857793253828</v>
      </c>
      <c r="I9" s="149">
        <f>H9*(100%-'Données projet'!$C$24)*(100%-'Données projet'!$C$25)*(100%-'Données projet'!$C$26)*(100%-'Données projet'!$C$27)</f>
        <v>1.5676972013928445</v>
      </c>
      <c r="J9" s="150">
        <f>IF(OR('Données projet'!B12="",'Données projet'!C12="",'Données projet'!C12=0%),0,SUM(Calculateur!$CG$3:$CG$33)*VLOOKUP('Données projet'!$B$12,Paramètres!$A$1:$I$89,9,0)*B9)</f>
        <v>26.600212799999998</v>
      </c>
      <c r="K9" s="151">
        <f>J9*(100%-'Données projet'!$C$24)*(100%-'Données projet'!$C$25)*(100%-'Données projet'!$C$26)*(100%-'Données projet'!$C$27)</f>
        <v>23.940191519999999</v>
      </c>
      <c r="L9" s="152">
        <f t="shared" ca="1" si="2"/>
        <v>230.64178500316382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chevelu</v>
      </c>
      <c r="B10" s="154">
        <f>'Données projet'!D13</f>
        <v>2.5536000000000003</v>
      </c>
      <c r="C10" s="147">
        <f ca="1">IF(OR('Données projet'!B13="",'Données projet'!C13="",'Données projet'!C13=0%),0,Calculateur!CY3)</f>
        <v>177.94336949486529</v>
      </c>
      <c r="D10" s="147">
        <f>IF(OR('Données projet'!B13="",'Données projet'!C13="",'Données projet'!C13=0%),0,Calculateur!CZ3)</f>
        <v>65.559373432574603</v>
      </c>
      <c r="E10" s="147">
        <f t="shared" ca="1" si="0"/>
        <v>65.559373432574603</v>
      </c>
      <c r="F10" s="147">
        <f t="shared" ca="1" si="1"/>
        <v>167.41241599742253</v>
      </c>
      <c r="G10" s="147">
        <f ca="1">F10*(100%-'Données projet'!$C$24)*(100%-'Données projet'!$C$25)*(100%-'Données projet'!$C$26)*(100%-'Données projet'!$C$27)</f>
        <v>150.67117439768029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150.67117439768029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2.5536000000000003</v>
      </c>
      <c r="C11" s="147">
        <f ca="1">IF(OR('Données projet'!B14="",'Données projet'!C14="",'Données projet'!C14=0%),0,Calculateur!DT3)</f>
        <v>165.39579887388538</v>
      </c>
      <c r="D11" s="147">
        <f>IF(OR('Données projet'!B14="",'Données projet'!C14="",'Données projet'!C14=0%),0,Calculateur!DU3)</f>
        <v>155.89639262545802</v>
      </c>
      <c r="E11" s="147">
        <f t="shared" ca="1" si="0"/>
        <v>155.89639262545802</v>
      </c>
      <c r="F11" s="147">
        <f t="shared" ca="1" si="1"/>
        <v>398.09702820836964</v>
      </c>
      <c r="G11" s="147">
        <f ca="1">F11*(100%-'Données projet'!$C$24)*(100%-'Données projet'!$C$25)*(100%-'Données projet'!$C$26)*(100%-'Données projet'!$C$27)</f>
        <v>358.28732538753269</v>
      </c>
      <c r="H11" s="155">
        <f>IF(OR('Données projet'!B14="",'Données projet'!C14="",'Données projet'!C14=0%),0,AVERAGE(Calculateur!$ED$3:$ED$33)*B11)</f>
        <v>1.7438024417061566</v>
      </c>
      <c r="I11" s="149">
        <f>H11*(100%-'Données projet'!$C$24)*(100%-'Données projet'!$C$25)*(100%-'Données projet'!$C$26)*(100%-'Données projet'!$C$27)</f>
        <v>1.5694221975355409</v>
      </c>
      <c r="J11" s="150">
        <f>IF(OR('Données projet'!B14="",'Données projet'!C14="",'Données projet'!C14=0%),0,SUM(Calculateur!$DW$3:$DW$33)*VLOOKUP('Données projet'!$B$14,Paramètres!$A$1:$I$89,9,0)*B11)</f>
        <v>45.019968000000006</v>
      </c>
      <c r="K11" s="151">
        <f>J11*(100%-'Données projet'!$C$24)*(100%-'Données projet'!$C$25)*(100%-'Données projet'!$C$26)*(100%-'Données projet'!$C$27)</f>
        <v>40.517971200000005</v>
      </c>
      <c r="L11" s="152">
        <f t="shared" ca="1" si="2"/>
        <v>400.37471878506824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Sapin méditerranéen</v>
      </c>
      <c r="B12" s="154">
        <f>'Données projet'!D15</f>
        <v>5.1072000000000006</v>
      </c>
      <c r="C12" s="147">
        <f ca="1">IF(OR('Données projet'!B15="",'Données projet'!C15="",'Données projet'!C15=0%),0,Calculateur!EO3)</f>
        <v>252.30925789500111</v>
      </c>
      <c r="D12" s="147">
        <f>IF(OR('Données projet'!B15="",'Données projet'!C15="",'Données projet'!C15=0%),0,Calculateur!EP3)</f>
        <v>213.96033794804805</v>
      </c>
      <c r="E12" s="147">
        <f t="shared" ca="1" si="0"/>
        <v>213.96033794804805</v>
      </c>
      <c r="F12" s="147">
        <f t="shared" ca="1" si="1"/>
        <v>1092.7382379682711</v>
      </c>
      <c r="G12" s="147">
        <f ca="1">F12*(100%-'Données projet'!$C$24)*(100%-'Données projet'!$C$25)*(100%-'Données projet'!$C$26)*(100%-'Données projet'!$C$27)</f>
        <v>983.46441417144399</v>
      </c>
      <c r="H12" s="155">
        <f>IF(OR('Données projet'!B15="",'Données projet'!C15="",'Données projet'!C15=0%),0,AVERAGE(Calculateur!$EY$3:$EY$33)*B12)</f>
        <v>4.6522287519871943</v>
      </c>
      <c r="I12" s="149">
        <f>H12*(100%-'Données projet'!$C$24)*(100%-'Données projet'!$C$25)*(100%-'Données projet'!$C$26)*(100%-'Données projet'!$C$27)</f>
        <v>4.1870058767884748</v>
      </c>
      <c r="J12" s="150">
        <f>IF(OR('Données projet'!B15="",'Données projet'!C15="",'Données projet'!C15=0%),0,SUM(Calculateur!$ER$3:$ER$33)*VLOOKUP('Données projet'!$B$15,Paramètres!$A$1:$I$89,9,0)*B12)</f>
        <v>144.94233600000001</v>
      </c>
      <c r="K12" s="151">
        <f>J12*(100%-'Données projet'!$C$24)*(100%-'Données projet'!$C$25)*(100%-'Données projet'!$C$26)*(100%-'Données projet'!$C$27)</f>
        <v>130.44810240000001</v>
      </c>
      <c r="L12" s="152">
        <f t="shared" ca="1" si="2"/>
        <v>1118.0995224482324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Sapin de Nordmann</v>
      </c>
      <c r="B13" s="154">
        <f>'Données projet'!D16</f>
        <v>3.1920000000000002</v>
      </c>
      <c r="C13" s="147">
        <f ca="1">IF(OR('Données projet'!B16="",'Données projet'!C16="",'Données projet'!C16=0%),0,Calculateur!FJ3)</f>
        <v>252.30925789500111</v>
      </c>
      <c r="D13" s="147">
        <f>IF(OR('Données projet'!B16="",'Données projet'!C16="",'Données projet'!C16=0%),0,Calculateur!FK3)</f>
        <v>213.96033794804805</v>
      </c>
      <c r="E13" s="147">
        <f t="shared" ca="1" si="0"/>
        <v>213.96033794804805</v>
      </c>
      <c r="F13" s="147">
        <f t="shared" ca="1" si="1"/>
        <v>682.96139873016944</v>
      </c>
      <c r="G13" s="147">
        <f ca="1">F13*(100%-'Données projet'!$C$24)*(100%-'Données projet'!$C$25)*(100%-'Données projet'!$C$26)*(100%-'Données projet'!$C$27)</f>
        <v>614.66525885715248</v>
      </c>
      <c r="H13" s="155">
        <f>IF(OR('Données projet'!B16="",'Données projet'!C16="",'Données projet'!C16=0%),0,AVERAGE(Calculateur!$FT$3:$FT$33)*B13)</f>
        <v>2.9076429699919966</v>
      </c>
      <c r="I13" s="149">
        <f>H13*(100%-'Données projet'!$C$24)*(100%-'Données projet'!$C$25)*(100%-'Données projet'!$C$26)*(100%-'Données projet'!$C$27)</f>
        <v>2.6168786729927969</v>
      </c>
      <c r="J13" s="150">
        <f>IF(OR('Données projet'!C16="",'Données projet'!C16=0%),0,SUM(Calculateur!$FM$3:$FM$33)*VLOOKUP('Données projet'!$B$16,Paramètres!$A$1:$I$89,9,0)*B13)</f>
        <v>90.58896</v>
      </c>
      <c r="K13" s="151">
        <f>J13*(100%-'Données projet'!$C$24)*(100%-'Données projet'!$C$25)*(100%-'Données projet'!$C$26)*(100%-'Données projet'!$C$27)</f>
        <v>81.530063999999996</v>
      </c>
      <c r="L13" s="152">
        <f t="shared" ca="1" si="2"/>
        <v>698.81220153014533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Pin maritime</v>
      </c>
      <c r="B14" s="154">
        <f>'Données projet'!D17</f>
        <v>14.0448</v>
      </c>
      <c r="C14" s="147">
        <f ca="1">IF(OR('Données projet'!B17="",'Données projet'!C17="",'Données projet'!C17=0%),0,Calculateur!GE3)</f>
        <v>117.54638373164624</v>
      </c>
      <c r="D14" s="147">
        <f>IF(OR('Données projet'!B17="",'Données projet'!C17="",'Données projet'!C17=0%),0,Calculateur!GF3)</f>
        <v>133.0740262536583</v>
      </c>
      <c r="E14" s="147">
        <f t="shared" ca="1" si="0"/>
        <v>117.54638373164624</v>
      </c>
      <c r="F14" s="147">
        <f t="shared" ca="1" si="1"/>
        <v>1650.9154502342253</v>
      </c>
      <c r="G14" s="147">
        <f ca="1">F14*(100%-'Données projet'!$C$24)*(100%-'Données projet'!$C$25)*(100%-'Données projet'!$C$26)*(100%-'Données projet'!$C$27)</f>
        <v>1485.8239052108029</v>
      </c>
      <c r="H14" s="155">
        <f>IF(OR('Données projet'!B17="",'Données projet'!C17="",'Données projet'!C17=0%),0,AVERAGE(Calculateur!$GO$3:$GO$33)*B14)</f>
        <v>63.017783739151966</v>
      </c>
      <c r="I14" s="149">
        <f>H14*(100%-'Données projet'!$C$24)*(100%-'Données projet'!$C$25)*(100%-'Données projet'!$C$26)*(100%-'Données projet'!$C$27)</f>
        <v>56.716005365236768</v>
      </c>
      <c r="J14" s="150">
        <f>IF(OR('Données projet'!B17="",'Données projet'!C17="",'Données projet'!C17=0%),0,SUM(Calculateur!$GH$3:$GH$33)*VLOOKUP('Données projet'!$B$17,Paramètres!$A$1:$I$89,9,0)*B14)</f>
        <v>538.61808000000008</v>
      </c>
      <c r="K14" s="151">
        <f>J14*(100%-'Données projet'!$C$24)*(100%-'Données projet'!$C$25)*(100%-'Données projet'!$C$26)*(100%-'Données projet'!$C$27)</f>
        <v>484.75627200000008</v>
      </c>
      <c r="L14" s="152">
        <f t="shared" ca="1" si="2"/>
        <v>2027.2961825760397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Peuplier Trichobel</v>
      </c>
      <c r="B15" s="157">
        <f>'Données projet'!D18</f>
        <v>5.7456000000000005</v>
      </c>
      <c r="C15" s="158">
        <f ca="1">IF(OR('Données projet'!B18="",'Données projet'!C18="",'Données projet'!C18=0%),0,Calculateur!GZ3)</f>
        <v>43.147469606759159</v>
      </c>
      <c r="D15" s="158">
        <f>IF(OR('Données projet'!B18="",'Données projet'!C18="",'Données projet'!C18=0%),0,Calculateur!HA3)</f>
        <v>147.46995307968473</v>
      </c>
      <c r="E15" s="158">
        <f t="shared" ca="1" si="0"/>
        <v>43.147469606759159</v>
      </c>
      <c r="F15" s="159">
        <f t="shared" ca="1" si="1"/>
        <v>247.90810137259544</v>
      </c>
      <c r="G15" s="159">
        <f ca="1">F15*(100%-'Données projet'!$C$24)*(100%-'Données projet'!$C$25)*(100%-'Données projet'!$C$26)*(100%-'Données projet'!$C$27)</f>
        <v>223.1172912353359</v>
      </c>
      <c r="H15" s="160">
        <f>IF(OR('Données projet'!B18="",'Données projet'!C18="",'Données projet'!C18=0%),0,AVERAGE(Calculateur!$HJ$3:$HJ$33)*B15)</f>
        <v>92.248534084134079</v>
      </c>
      <c r="I15" s="161">
        <f>H15*(100%-'Données projet'!$C$24)*(100%-'Données projet'!$C$25)*(100%-'Données projet'!$C$26)*(100%-'Données projet'!$C$27)</f>
        <v>83.023680675720669</v>
      </c>
      <c r="J15" s="162">
        <f>IF(OR('Données projet'!B18="",'Données projet'!C18="",'Données projet'!C18=0%),0,SUM(Calculateur!$HC$3:$HC$33)*VLOOKUP('Données projet'!$B$18,Paramètres!$A$1:$I$89,9,0)*B15)</f>
        <v>1053.3983040000001</v>
      </c>
      <c r="K15" s="163">
        <f>J15*(100%-'Données projet'!$C$24)*(100%-'Données projet'!$C$25)*(100%-'Données projet'!$C$26)*(100%-'Données projet'!$C$27)</f>
        <v>948.05847360000007</v>
      </c>
      <c r="L15" s="164">
        <f t="shared" ca="1" si="2"/>
        <v>1254.1994455110566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7430.8024431599051</v>
      </c>
      <c r="G16" s="166">
        <f t="shared" ca="1" si="3"/>
        <v>6687.7221988439142</v>
      </c>
      <c r="H16" s="167">
        <f t="shared" si="3"/>
        <v>199.74141824781572</v>
      </c>
      <c r="I16" s="167">
        <f t="shared" si="3"/>
        <v>179.76727642303416</v>
      </c>
      <c r="J16" s="168">
        <f t="shared" si="3"/>
        <v>2182.6749168000006</v>
      </c>
      <c r="K16" s="168">
        <f t="shared" si="3"/>
        <v>1964.4074251200002</v>
      </c>
      <c r="L16" s="169">
        <f t="shared" ca="1" si="3"/>
        <v>8831.8969003869479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chevelu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Sapin méditerranéen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Sapin de Nordmann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Pin maritime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Peuplier Trichobel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296" zoomScale="70" zoomScaleNormal="70" workbookViewId="0">
      <selection activeCell="E297" sqref="E29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-1897.518497100649</v>
      </c>
      <c r="U10" s="178">
        <f>'Données projet'!D9</f>
        <v>16.598400000000002</v>
      </c>
      <c r="V10" s="177">
        <f>U10*T10</f>
        <v>-31495.771022275418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-651.9950125041621</v>
      </c>
      <c r="U11" s="178">
        <f>'Données projet'!D10</f>
        <v>9.5760000000000005</v>
      </c>
      <c r="V11" s="177">
        <f t="shared" ref="V11" si="0">U11*T11</f>
        <v>-6243.5042397398565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-799.74379562398099</v>
      </c>
      <c r="U12" s="178">
        <f>'Données projet'!D11</f>
        <v>1.9152</v>
      </c>
      <c r="V12" s="177">
        <f t="shared" ref="V12:V19" si="1">U12*T12</f>
        <v>-1531.6693173790484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-1839.4058391318904</v>
      </c>
      <c r="U13" s="178">
        <f>'Données projet'!D12</f>
        <v>1.9152</v>
      </c>
      <c r="V13" s="177">
        <f t="shared" si="1"/>
        <v>-3522.8300631053967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chevelu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-2531.5184971006493</v>
      </c>
      <c r="U14" s="178">
        <f>'Données projet'!D13</f>
        <v>2.5536000000000003</v>
      </c>
      <c r="V14" s="177">
        <f t="shared" si="1"/>
        <v>-6464.4856341962186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-82.902605463657324</v>
      </c>
      <c r="U15" s="178">
        <f>'Données projet'!D14</f>
        <v>2.5536000000000003</v>
      </c>
      <c r="V15" s="177">
        <f t="shared" si="1"/>
        <v>-211.70009331199537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Sapin méditerranéen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491.81443335200447</v>
      </c>
      <c r="U16" s="178">
        <f>'Données projet'!D15</f>
        <v>5.1072000000000006</v>
      </c>
      <c r="V16" s="177">
        <f t="shared" si="1"/>
        <v>2511.7946740153575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2411.9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Sapin de Nordmann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555.21443335200433</v>
      </c>
      <c r="U17" s="178">
        <f>'Données projet'!D16</f>
        <v>3.1920000000000002</v>
      </c>
      <c r="V17" s="177">
        <f t="shared" si="1"/>
        <v>1772.244471259598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>Pin maritime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-98.683572693799533</v>
      </c>
      <c r="U18" s="178">
        <f>'Données projet'!D17</f>
        <v>14.0448</v>
      </c>
      <c r="V18" s="177">
        <f t="shared" si="1"/>
        <v>-1385.9910417698757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>Peuplier Trichobel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1661.5214511928023</v>
      </c>
      <c r="U19" s="178">
        <f>'Données projet'!D18</f>
        <v>5.7456000000000005</v>
      </c>
      <c r="V19" s="177">
        <f t="shared" si="1"/>
        <v>9546.4376499733662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785+625+114.210526</f>
        <v>1524.2105260000001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250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3</v>
      </c>
      <c r="I23" s="191">
        <v>500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-206805.28951402666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0</v>
      </c>
      <c r="C24" s="193">
        <v>12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4528.9850207170621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27</v>
      </c>
      <c r="C25" s="193">
        <v>15</v>
      </c>
      <c r="D25" s="182">
        <f t="shared" si="2"/>
        <v>405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-211334.27453474372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28</v>
      </c>
      <c r="C26" s="193">
        <v>20</v>
      </c>
      <c r="D26" s="182">
        <f t="shared" si="2"/>
        <v>560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28</v>
      </c>
      <c r="C27" s="193">
        <v>25</v>
      </c>
      <c r="D27" s="182">
        <f t="shared" si="2"/>
        <v>700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28</v>
      </c>
      <c r="C28" s="193">
        <v>30</v>
      </c>
      <c r="D28" s="182">
        <f t="shared" si="2"/>
        <v>840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28</v>
      </c>
      <c r="C29" s="193">
        <v>35</v>
      </c>
      <c r="D29" s="182">
        <f t="shared" si="2"/>
        <v>980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28</v>
      </c>
      <c r="C30" s="193">
        <v>40</v>
      </c>
      <c r="D30" s="182">
        <f t="shared" si="2"/>
        <v>1120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28</v>
      </c>
      <c r="C31" s="193">
        <v>50</v>
      </c>
      <c r="D31" s="182">
        <f t="shared" si="2"/>
        <v>1400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27</v>
      </c>
      <c r="C32" s="193">
        <v>60</v>
      </c>
      <c r="D32" s="182">
        <f t="shared" si="2"/>
        <v>1620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234</v>
      </c>
      <c r="C33" s="193">
        <v>180</v>
      </c>
      <c r="D33" s="182">
        <f t="shared" si="2"/>
        <v>42120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1663.78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32</v>
      </c>
      <c r="C54" s="191">
        <v>8</v>
      </c>
      <c r="D54" s="179">
        <f>B54*C54</f>
        <v>256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62</v>
      </c>
      <c r="C55" s="191">
        <v>15</v>
      </c>
      <c r="D55" s="179">
        <f t="shared" ref="D55:D73" si="4">B55*C55</f>
        <v>930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58</v>
      </c>
      <c r="C56" s="191">
        <v>25</v>
      </c>
      <c r="D56" s="179">
        <f t="shared" si="4"/>
        <v>1450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50</v>
      </c>
      <c r="C57" s="191">
        <v>30</v>
      </c>
      <c r="D57" s="179">
        <f t="shared" si="4"/>
        <v>1500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40</v>
      </c>
      <c r="C58" s="191">
        <v>35</v>
      </c>
      <c r="D58" s="179">
        <f t="shared" si="4"/>
        <v>1400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32</v>
      </c>
      <c r="C59" s="191">
        <v>40</v>
      </c>
      <c r="D59" s="179">
        <f t="shared" si="4"/>
        <v>1280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24</v>
      </c>
      <c r="C60" s="191">
        <v>45</v>
      </c>
      <c r="D60" s="179">
        <f t="shared" si="4"/>
        <v>1080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225</v>
      </c>
      <c r="C61" s="191">
        <v>70</v>
      </c>
      <c r="D61" s="179">
        <f t="shared" si="4"/>
        <v>15750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1828.62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15</v>
      </c>
      <c r="C85" s="191">
        <v>5</v>
      </c>
      <c r="D85" s="179">
        <f>B85*C85</f>
        <v>75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56</v>
      </c>
      <c r="C86" s="191">
        <v>5</v>
      </c>
      <c r="D86" s="179">
        <f t="shared" ref="D86:D104" si="6">B86*C86</f>
        <v>280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56</v>
      </c>
      <c r="C87" s="191">
        <v>20</v>
      </c>
      <c r="D87" s="179">
        <f t="shared" si="6"/>
        <v>1120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52</v>
      </c>
      <c r="C88" s="191">
        <v>20</v>
      </c>
      <c r="D88" s="179">
        <f t="shared" si="6"/>
        <v>1040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37</v>
      </c>
      <c r="C89" s="191">
        <v>30</v>
      </c>
      <c r="D89" s="179">
        <f t="shared" si="6"/>
        <v>1110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28</v>
      </c>
      <c r="C90" s="191">
        <v>40</v>
      </c>
      <c r="D90" s="179">
        <f t="shared" si="6"/>
        <v>1120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328</v>
      </c>
      <c r="C91" s="191">
        <v>50</v>
      </c>
      <c r="D91" s="179">
        <f t="shared" si="6"/>
        <v>16400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2741.58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6.9</v>
      </c>
      <c r="C116" s="191">
        <v>8</v>
      </c>
      <c r="D116" s="179">
        <f>B116*C116</f>
        <v>55.2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25.4</v>
      </c>
      <c r="C117" s="191">
        <v>8</v>
      </c>
      <c r="D117" s="179">
        <f t="shared" ref="D117:D135" si="8">B117*C117</f>
        <v>203.2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46.3</v>
      </c>
      <c r="C118" s="191">
        <v>15</v>
      </c>
      <c r="D118" s="179">
        <f t="shared" si="8"/>
        <v>694.5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46.3</v>
      </c>
      <c r="C119" s="191">
        <v>25</v>
      </c>
      <c r="D119" s="179">
        <f t="shared" si="8"/>
        <v>1157.5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46.3</v>
      </c>
      <c r="C120" s="191">
        <v>30</v>
      </c>
      <c r="D120" s="179">
        <f t="shared" si="8"/>
        <v>1389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46.3</v>
      </c>
      <c r="C121" s="191">
        <v>35</v>
      </c>
      <c r="D121" s="179">
        <f t="shared" si="8"/>
        <v>1620.5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46.3</v>
      </c>
      <c r="C122" s="191">
        <v>40</v>
      </c>
      <c r="D122" s="179">
        <f t="shared" si="8"/>
        <v>1852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46.3</v>
      </c>
      <c r="C123" s="191">
        <v>50</v>
      </c>
      <c r="D123" s="179">
        <f t="shared" si="8"/>
        <v>2315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46.3</v>
      </c>
      <c r="C124" s="191">
        <v>70</v>
      </c>
      <c r="D124" s="179">
        <f t="shared" si="8"/>
        <v>3241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448.6</v>
      </c>
      <c r="C125" s="191">
        <v>75</v>
      </c>
      <c r="D125" s="179">
        <f t="shared" si="8"/>
        <v>33645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chevelu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3045.9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25</v>
      </c>
      <c r="B147" s="175">
        <f>'Données projet'!D140</f>
        <v>0</v>
      </c>
      <c r="C147" s="191">
        <v>8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0</v>
      </c>
      <c r="C148" s="191">
        <v>12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27</v>
      </c>
      <c r="C149" s="191">
        <v>15</v>
      </c>
      <c r="D149" s="182">
        <f t="shared" si="10"/>
        <v>405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28</v>
      </c>
      <c r="C150" s="191">
        <v>20</v>
      </c>
      <c r="D150" s="182">
        <f t="shared" si="10"/>
        <v>560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28</v>
      </c>
      <c r="C151" s="191">
        <v>25</v>
      </c>
      <c r="D151" s="182">
        <f t="shared" si="10"/>
        <v>700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28</v>
      </c>
      <c r="C152" s="191">
        <v>30</v>
      </c>
      <c r="D152" s="182">
        <f t="shared" si="10"/>
        <v>840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</v>
      </c>
      <c r="C153" s="191">
        <v>35</v>
      </c>
      <c r="D153" s="182">
        <f t="shared" si="10"/>
        <v>980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28</v>
      </c>
      <c r="C154" s="191">
        <v>40</v>
      </c>
      <c r="D154" s="182">
        <f t="shared" si="10"/>
        <v>1120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28</v>
      </c>
      <c r="C155" s="191">
        <v>50</v>
      </c>
      <c r="D155" s="182">
        <f t="shared" si="10"/>
        <v>1400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27</v>
      </c>
      <c r="C156" s="191">
        <v>60</v>
      </c>
      <c r="D156" s="182">
        <f t="shared" si="10"/>
        <v>1620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234</v>
      </c>
      <c r="C157" s="191">
        <v>180</v>
      </c>
      <c r="D157" s="182">
        <f t="shared" si="10"/>
        <v>42120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1600.38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0</v>
      </c>
      <c r="C178" s="193">
        <v>10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41</v>
      </c>
      <c r="C179" s="193">
        <v>15</v>
      </c>
      <c r="D179" s="179">
        <f t="shared" ref="D179:D197" si="11">B179*C179</f>
        <v>615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56</v>
      </c>
      <c r="C180" s="193">
        <v>25</v>
      </c>
      <c r="D180" s="179">
        <f t="shared" si="11"/>
        <v>1400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56</v>
      </c>
      <c r="C181" s="193">
        <v>35</v>
      </c>
      <c r="D181" s="179">
        <f t="shared" si="11"/>
        <v>1960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49</v>
      </c>
      <c r="C182" s="193">
        <v>40</v>
      </c>
      <c r="D182" s="179">
        <f t="shared" si="11"/>
        <v>1960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38</v>
      </c>
      <c r="C183" s="193">
        <v>50</v>
      </c>
      <c r="D183" s="179">
        <f t="shared" si="11"/>
        <v>1900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377</v>
      </c>
      <c r="C184" s="193">
        <v>60</v>
      </c>
      <c r="D184" s="179">
        <f t="shared" si="11"/>
        <v>22620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Sapin méditerranéen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1879.34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0</v>
      </c>
      <c r="C209" s="193">
        <v>5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66</v>
      </c>
      <c r="C210" s="193">
        <v>5</v>
      </c>
      <c r="D210" s="179">
        <f t="shared" ref="D210:D228" si="12">B210*C210</f>
        <v>330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98</v>
      </c>
      <c r="C211" s="193">
        <v>8</v>
      </c>
      <c r="D211" s="179">
        <f t="shared" si="12"/>
        <v>784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98</v>
      </c>
      <c r="C212" s="193">
        <v>15</v>
      </c>
      <c r="D212" s="179">
        <f t="shared" si="12"/>
        <v>1470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95</v>
      </c>
      <c r="C213" s="193">
        <v>30</v>
      </c>
      <c r="D213" s="179">
        <f t="shared" si="12"/>
        <v>2850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78</v>
      </c>
      <c r="C214" s="193">
        <v>50</v>
      </c>
      <c r="D214" s="179">
        <f t="shared" si="12"/>
        <v>3900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678</v>
      </c>
      <c r="C215" s="193">
        <v>80</v>
      </c>
      <c r="D215" s="179">
        <f t="shared" si="12"/>
        <v>54240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Sapin de Nordmann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1815.94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0</v>
      </c>
      <c r="C240" s="193">
        <v>5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66</v>
      </c>
      <c r="C241" s="193">
        <v>5</v>
      </c>
      <c r="D241" s="179">
        <f t="shared" ref="D241:D259" si="13">B241*C241</f>
        <v>330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98</v>
      </c>
      <c r="C242" s="193">
        <v>8</v>
      </c>
      <c r="D242" s="179">
        <f t="shared" si="13"/>
        <v>784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98</v>
      </c>
      <c r="C243" s="193">
        <v>15</v>
      </c>
      <c r="D243" s="179">
        <f t="shared" si="13"/>
        <v>1470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95</v>
      </c>
      <c r="C244" s="193">
        <v>30</v>
      </c>
      <c r="D244" s="179">
        <f t="shared" si="13"/>
        <v>2850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78</v>
      </c>
      <c r="C245" s="193">
        <v>50</v>
      </c>
      <c r="D245" s="179">
        <f t="shared" si="13"/>
        <v>3900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678</v>
      </c>
      <c r="C246" s="193">
        <v>80</v>
      </c>
      <c r="D246" s="179">
        <f t="shared" si="13"/>
        <v>54240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Pin maritime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1663.78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12</v>
      </c>
      <c r="B271" s="181">
        <f>'Données projet'!D244</f>
        <v>0</v>
      </c>
      <c r="C271" s="193">
        <v>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16</v>
      </c>
      <c r="B272" s="181">
        <f>'Données projet'!D245</f>
        <v>8</v>
      </c>
      <c r="C272" s="193">
        <v>8</v>
      </c>
      <c r="D272" s="179">
        <f t="shared" ref="D272:D290" si="14">B272*C272</f>
        <v>64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20</v>
      </c>
      <c r="B273" s="181">
        <f>'Données projet'!D246</f>
        <v>14</v>
      </c>
      <c r="C273" s="193">
        <v>8</v>
      </c>
      <c r="D273" s="179">
        <f t="shared" si="14"/>
        <v>112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24</v>
      </c>
      <c r="B274" s="181">
        <f>'Données projet'!D247</f>
        <v>20</v>
      </c>
      <c r="C274" s="193">
        <v>15</v>
      </c>
      <c r="D274" s="179">
        <f t="shared" si="14"/>
        <v>300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28</v>
      </c>
      <c r="B275" s="181">
        <f>'Données projet'!D248</f>
        <v>23</v>
      </c>
      <c r="C275" s="193">
        <v>15</v>
      </c>
      <c r="D275" s="179">
        <f t="shared" si="14"/>
        <v>345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34</v>
      </c>
      <c r="B276" s="181">
        <f>'Données projet'!D249</f>
        <v>38</v>
      </c>
      <c r="C276" s="193">
        <v>20</v>
      </c>
      <c r="D276" s="179">
        <f t="shared" si="14"/>
        <v>760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40</v>
      </c>
      <c r="B277" s="181">
        <f>'Données projet'!D250</f>
        <v>31</v>
      </c>
      <c r="C277" s="193">
        <v>25</v>
      </c>
      <c r="D277" s="179">
        <f t="shared" si="14"/>
        <v>775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46</v>
      </c>
      <c r="B278" s="181">
        <f>'Données projet'!D251</f>
        <v>23</v>
      </c>
      <c r="C278" s="193">
        <v>35</v>
      </c>
      <c r="D278" s="179">
        <f t="shared" si="14"/>
        <v>805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54</v>
      </c>
      <c r="B279" s="181">
        <f>'Données projet'!D252</f>
        <v>22</v>
      </c>
      <c r="C279" s="193">
        <v>42</v>
      </c>
      <c r="D279" s="179">
        <f t="shared" si="14"/>
        <v>924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62</v>
      </c>
      <c r="B280" s="181">
        <f>'Données projet'!D253</f>
        <v>241</v>
      </c>
      <c r="C280" s="193">
        <v>50</v>
      </c>
      <c r="D280" s="179">
        <f t="shared" si="14"/>
        <v>12050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Peuplier Trichobel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2028.8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5</v>
      </c>
      <c r="B302" s="181">
        <f>'Données projet'!D270</f>
        <v>0</v>
      </c>
      <c r="C302" s="191">
        <v>0</v>
      </c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10</v>
      </c>
      <c r="B303" s="181">
        <f>'Données projet'!D271</f>
        <v>0</v>
      </c>
      <c r="C303" s="191">
        <v>0</v>
      </c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15</v>
      </c>
      <c r="B304" s="181">
        <f>'Données projet'!D272</f>
        <v>0</v>
      </c>
      <c r="C304" s="191">
        <v>0</v>
      </c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20</v>
      </c>
      <c r="B305" s="181">
        <f>'Données projet'!D273</f>
        <v>178</v>
      </c>
      <c r="C305" s="191">
        <v>50</v>
      </c>
      <c r="D305" s="182">
        <f t="shared" si="15"/>
        <v>8900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2024-01-30T08:28:59Z</dcterms:modified>
</cp:coreProperties>
</file>