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551eea340582f2a/5-Label Bas Carbone/2023-9 Tarnac (19)/Labellisation/Envoi DREAL 2/"/>
    </mc:Choice>
  </mc:AlternateContent>
  <xr:revisionPtr revIDLastSave="281" documentId="11_B954B0FA9D2D6785A31326A0F3CC28A890EA51D0" xr6:coauthVersionLast="47" xr6:coauthVersionMax="47" xr10:uidLastSave="{C0346CC6-8FDB-9949-B6A2-FF34B9311E46}"/>
  <bookViews>
    <workbookView xWindow="0" yWindow="0" windowWidth="28800" windowHeight="180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1" l="1"/>
  <c r="B67" i="1"/>
  <c r="B66" i="1"/>
  <c r="B65" i="1"/>
  <c r="B64" i="1"/>
  <c r="B63" i="1"/>
  <c r="B39" i="1" l="1"/>
  <c r="B40" i="1"/>
  <c r="B41" i="1"/>
  <c r="B42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GL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EW20" i="2"/>
  <c r="EC20" i="2"/>
  <c r="FS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A33" i="2"/>
  <c r="EB33" i="2"/>
  <c r="EW33" i="2"/>
  <c r="EV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HH38" i="2"/>
  <c r="HI38" i="2"/>
  <c r="EW38" i="2"/>
  <c r="FS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FS44" i="2"/>
  <c r="HH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H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FS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EV78" i="2"/>
  <c r="EB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HI85" i="2"/>
  <c r="HG85" i="2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EV105" i="2"/>
  <c r="EB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HI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HI113" i="2"/>
  <c r="EB113" i="2"/>
  <c r="FS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HH118" i="2"/>
  <c r="FQ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HI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EX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G144" i="2"/>
  <c r="HH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H145" i="2"/>
  <c r="FR145" i="2"/>
  <c r="HG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H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EB154" i="2"/>
  <c r="AB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EA155" i="2"/>
  <c r="ED155" i="2" s="1"/>
  <c r="EW155" i="2"/>
  <c r="HG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DH156" i="2"/>
  <c r="FS156" i="2"/>
  <c r="HI156" i="2"/>
  <c r="EX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X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EC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X161" i="2"/>
  <c r="HH161" i="2"/>
  <c r="FS161" i="2"/>
  <c r="EA161" i="2"/>
  <c r="ED161" i="2" s="1"/>
  <c r="AB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EW162" i="2"/>
  <c r="HH162" i="2"/>
  <c r="HG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B163" i="2"/>
  <c r="HG163" i="2"/>
  <c r="EV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DI163" i="2"/>
  <c r="EA164" i="2"/>
  <c r="EV164" i="2"/>
  <c r="HG164" i="2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EX165" i="2"/>
  <c r="HH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HH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DG168" i="2"/>
  <c r="HI168" i="2"/>
  <c r="EV168" i="2"/>
  <c r="EY168" i="2" s="1"/>
  <c r="EC168" i="2"/>
  <c r="EW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A169" i="2"/>
  <c r="EX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D172" i="2" s="1"/>
  <c r="HI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W173" i="2"/>
  <c r="HJ172" i="2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W175" i="2" l="1"/>
  <c r="AA175" i="2"/>
  <c r="EA175" i="2"/>
  <c r="FS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S178" i="2"/>
  <c r="HH178" i="2"/>
  <c r="FQ178" i="2"/>
  <c r="HG178" i="2"/>
  <c r="EB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B179" i="2"/>
  <c r="EV179" i="2"/>
  <c r="EY179" i="2" s="1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B185" i="2"/>
  <c r="EW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W186" i="2"/>
  <c r="EA186" i="2"/>
  <c r="HH186" i="2"/>
  <c r="ED185" i="2"/>
  <c r="FR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V189" i="2"/>
  <c r="EY189" i="2" s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G191" i="2"/>
  <c r="HH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B192" i="2"/>
  <c r="HG192" i="2"/>
  <c r="EW192" i="2"/>
  <c r="EA192" i="2"/>
  <c r="EC192" i="2"/>
  <c r="EV192" i="2"/>
  <c r="EY192" i="2" s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B193" i="2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G194" i="2"/>
  <c r="EB194" i="2"/>
  <c r="HI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FQ195" i="2" l="1"/>
  <c r="HG195" i="2"/>
  <c r="HI195" i="2"/>
  <c r="EA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C197" i="2"/>
  <c r="HH197" i="2"/>
  <c r="AA197" i="2"/>
  <c r="EA197" i="2"/>
  <c r="ED197" i="2" s="1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EB199" i="2"/>
  <c r="EA199" i="2"/>
  <c r="HG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B201" i="2" l="1"/>
  <c r="HH201" i="2"/>
  <c r="EA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I202" i="2"/>
  <c r="FZ6" i="2"/>
  <c r="FR202" i="2"/>
  <c r="EW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126" i="2" a="1"/>
  <c r="BC126" i="2" s="1"/>
  <c r="GT122" i="2" a="1"/>
  <c r="GT122" i="2" s="1"/>
  <c r="GT174" i="2" a="1"/>
  <c r="GT174" i="2" s="1"/>
  <c r="EI36" i="2" a="1"/>
  <c r="EI36" i="2" s="1"/>
  <c r="DN6" i="2" a="1"/>
  <c r="DN6" i="2" s="1"/>
  <c r="DO6" i="2" s="1"/>
  <c r="HJ202" i="2"/>
  <c r="AX200" i="2"/>
  <c r="DN66" i="2" l="1" a="1"/>
  <c r="DN66" i="2" s="1"/>
  <c r="EI16" i="2" a="1"/>
  <c r="EI16" i="2" s="1"/>
  <c r="EI113" i="2" a="1"/>
  <c r="EI113" i="2" s="1"/>
  <c r="EI142" i="2" a="1"/>
  <c r="EI142" i="2" s="1"/>
  <c r="EI170" i="2" a="1"/>
  <c r="EI170" i="2" s="1"/>
  <c r="EI87" i="2" a="1"/>
  <c r="EI87" i="2" s="1"/>
  <c r="EI153" i="2" a="1"/>
  <c r="EI153" i="2" s="1"/>
  <c r="EI166" i="2" a="1"/>
  <c r="EI166" i="2" s="1"/>
  <c r="GT198" i="2" a="1"/>
  <c r="GT198" i="2" s="1"/>
  <c r="GT152" i="2" a="1"/>
  <c r="GT152" i="2" s="1"/>
  <c r="GT126" i="2" a="1"/>
  <c r="GT126" i="2" s="1"/>
  <c r="GT184" i="2" a="1"/>
  <c r="GT184" i="2" s="1"/>
  <c r="EI57" i="2" a="1"/>
  <c r="EI57" i="2" s="1"/>
  <c r="EI106" i="2" a="1"/>
  <c r="EI106" i="2" s="1"/>
  <c r="BC185" i="2" a="1"/>
  <c r="BC185" i="2" s="1"/>
  <c r="GT138" i="2" a="1"/>
  <c r="GT138" i="2" s="1"/>
  <c r="GT191" i="2" a="1"/>
  <c r="GT191" i="2" s="1"/>
  <c r="GT178" i="2" a="1"/>
  <c r="GT178" i="2" s="1"/>
  <c r="GT12" i="2" a="1"/>
  <c r="GT12" i="2" s="1"/>
  <c r="GT102" i="2" a="1"/>
  <c r="GT102" i="2" s="1"/>
  <c r="GT133" i="2" a="1"/>
  <c r="GT133" i="2" s="1"/>
  <c r="GT68" i="2" a="1"/>
  <c r="GT68" i="2" s="1"/>
  <c r="GT107" i="2" a="1"/>
  <c r="GT107" i="2" s="1"/>
  <c r="GT38" i="2" a="1"/>
  <c r="GT38" i="2" s="1"/>
  <c r="GT189" i="2" a="1"/>
  <c r="GT189" i="2" s="1"/>
  <c r="GT147" i="2" a="1"/>
  <c r="GT147" i="2" s="1"/>
  <c r="GT121" i="2" a="1"/>
  <c r="GT121" i="2" s="1"/>
  <c r="GT181" i="2" a="1"/>
  <c r="GT181" i="2" s="1"/>
  <c r="GT15" i="2" a="1"/>
  <c r="GT15" i="2" s="1"/>
  <c r="GT190" i="2" a="1"/>
  <c r="GT190" i="2" s="1"/>
  <c r="GT74" i="2" a="1"/>
  <c r="GT74" i="2" s="1"/>
  <c r="GT21" i="2" a="1"/>
  <c r="GT21" i="2" s="1"/>
  <c r="GT11" i="2" a="1"/>
  <c r="GT11" i="2" s="1"/>
  <c r="GT33" i="2" a="1"/>
  <c r="GT33" i="2" s="1"/>
  <c r="GT51" i="2" a="1"/>
  <c r="GT51" i="2" s="1"/>
  <c r="GT115" i="2" a="1"/>
  <c r="GT115" i="2" s="1"/>
  <c r="DN65" i="2" a="1"/>
  <c r="DN65" i="2" s="1"/>
  <c r="BC32" i="2" a="1"/>
  <c r="BC32" i="2" s="1"/>
  <c r="DN50" i="2" a="1"/>
  <c r="DN50" i="2" s="1"/>
  <c r="DN49" i="2" a="1"/>
  <c r="DN49" i="2" s="1"/>
  <c r="BC130" i="2" a="1"/>
  <c r="BC130" i="2" s="1"/>
  <c r="DN186" i="2" a="1"/>
  <c r="DN186" i="2" s="1"/>
  <c r="BC38" i="2" a="1"/>
  <c r="BC38" i="2" s="1"/>
  <c r="DN103" i="2" a="1"/>
  <c r="DN103" i="2" s="1"/>
  <c r="BX107" i="2" a="1"/>
  <c r="BX107" i="2" s="1"/>
  <c r="CS137" i="2" a="1"/>
  <c r="CS137" i="2" s="1"/>
  <c r="AH90" i="2" a="1"/>
  <c r="AH90" i="2" s="1"/>
  <c r="FY186" i="2" a="1"/>
  <c r="FY186" i="2" s="1"/>
  <c r="CS24" i="2" a="1"/>
  <c r="CS24" i="2" s="1"/>
  <c r="FY30" i="2" a="1"/>
  <c r="FY30" i="2" s="1"/>
  <c r="BC117" i="2" a="1"/>
  <c r="BC117" i="2" s="1"/>
  <c r="DN176" i="2" a="1"/>
  <c r="DN176" i="2" s="1"/>
  <c r="DN167" i="2" a="1"/>
  <c r="DN167" i="2" s="1"/>
  <c r="DN80" i="2" a="1"/>
  <c r="DN80" i="2" s="1"/>
  <c r="BC83" i="2" a="1"/>
  <c r="BC83" i="2" s="1"/>
  <c r="BC143" i="2" a="1"/>
  <c r="BC143" i="2" s="1"/>
  <c r="BC164" i="2" a="1"/>
  <c r="BC164" i="2" s="1"/>
  <c r="DN153" i="2" a="1"/>
  <c r="DN153" i="2" s="1"/>
  <c r="DN29" i="2" a="1"/>
  <c r="DN29" i="2" s="1"/>
  <c r="DN155" i="2" a="1"/>
  <c r="DN155" i="2" s="1"/>
  <c r="BC181" i="2" a="1"/>
  <c r="BC181" i="2" s="1"/>
  <c r="BC82" i="2" a="1"/>
  <c r="BC82" i="2" s="1"/>
  <c r="DN45" i="2" a="1"/>
  <c r="DN45" i="2" s="1"/>
  <c r="DN190" i="2" a="1"/>
  <c r="DN190" i="2" s="1"/>
  <c r="DN16" i="2" a="1"/>
  <c r="DN16" i="2" s="1"/>
  <c r="DN168" i="2" a="1"/>
  <c r="DN168" i="2" s="1"/>
  <c r="BC151" i="2" a="1"/>
  <c r="BC151" i="2" s="1"/>
  <c r="BC31" i="2" a="1"/>
  <c r="BC31" i="2" s="1"/>
  <c r="BC192" i="2" a="1"/>
  <c r="BC192" i="2" s="1"/>
  <c r="DN150" i="2" a="1"/>
  <c r="DN150" i="2" s="1"/>
  <c r="DN170" i="2" a="1"/>
  <c r="DN170" i="2" s="1"/>
  <c r="DN41" i="2" a="1"/>
  <c r="DN41" i="2" s="1"/>
  <c r="BC65" i="2" a="1"/>
  <c r="BC65" i="2" s="1"/>
  <c r="BC47" i="2" a="1"/>
  <c r="BC47" i="2" s="1"/>
  <c r="HG203" i="2"/>
  <c r="DN133" i="2" a="1"/>
  <c r="DN133" i="2" s="1"/>
  <c r="DN162" i="2" a="1"/>
  <c r="DN162" i="2" s="1"/>
  <c r="BC18" i="2" a="1"/>
  <c r="BC18" i="2" s="1"/>
  <c r="BC7" i="2" a="1"/>
  <c r="BC7" i="2" s="1"/>
  <c r="BD7" i="2" s="1"/>
  <c r="BC84" i="2" a="1"/>
  <c r="BC84" i="2" s="1"/>
  <c r="BC55" i="2" a="1"/>
  <c r="BC55" i="2" s="1"/>
  <c r="DN114" i="2" a="1"/>
  <c r="DN114" i="2" s="1"/>
  <c r="DN192" i="2" a="1"/>
  <c r="DN192" i="2" s="1"/>
  <c r="DN129" i="2" a="1"/>
  <c r="DN129" i="2" s="1"/>
  <c r="DN43" i="2" a="1"/>
  <c r="DN43" i="2" s="1"/>
  <c r="DN56" i="2" a="1"/>
  <c r="DN56" i="2" s="1"/>
  <c r="BC114" i="2" a="1"/>
  <c r="BC114" i="2" s="1"/>
  <c r="BC34" i="2" a="1"/>
  <c r="BC34" i="2" s="1"/>
  <c r="BC68" i="2" a="1"/>
  <c r="BC68" i="2" s="1"/>
  <c r="BC58" i="2" a="1"/>
  <c r="BC58" i="2" s="1"/>
  <c r="CS72" i="2" a="1"/>
  <c r="CS72" i="2" s="1"/>
  <c r="CS185" i="2" a="1"/>
  <c r="CS185" i="2" s="1"/>
  <c r="CS38" i="2" a="1"/>
  <c r="CS38" i="2" s="1"/>
  <c r="CS77" i="2" a="1"/>
  <c r="CS77" i="2" s="1"/>
  <c r="CS116" i="2" a="1"/>
  <c r="CS116" i="2" s="1"/>
  <c r="CS129" i="2" a="1"/>
  <c r="CS129" i="2" s="1"/>
  <c r="FY104" i="2" a="1"/>
  <c r="FY104" i="2" s="1"/>
  <c r="FY69" i="2" a="1"/>
  <c r="FY69" i="2" s="1"/>
  <c r="CS114" i="2" a="1"/>
  <c r="CS114" i="2" s="1"/>
  <c r="FD159" i="2" a="1"/>
  <c r="FD159" i="2" s="1"/>
  <c r="CS105" i="2" a="1"/>
  <c r="CS105" i="2" s="1"/>
  <c r="CS52" i="2" a="1"/>
  <c r="CS52" i="2" s="1"/>
  <c r="FY190" i="2" a="1"/>
  <c r="FY190" i="2" s="1"/>
  <c r="FY35" i="2" a="1"/>
  <c r="FY35" i="2" s="1"/>
  <c r="CS134" i="2" a="1"/>
  <c r="CS134" i="2" s="1"/>
  <c r="CS56" i="2" a="1"/>
  <c r="CS56" i="2" s="1"/>
  <c r="CS120" i="2" a="1"/>
  <c r="CS120" i="2" s="1"/>
  <c r="FD48" i="2" a="1"/>
  <c r="FD48" i="2" s="1"/>
  <c r="CS161" i="2" a="1"/>
  <c r="CS161" i="2" s="1"/>
  <c r="CS66" i="2" a="1"/>
  <c r="CS66" i="2" s="1"/>
  <c r="FY78" i="2" a="1"/>
  <c r="FY78" i="2" s="1"/>
  <c r="FY50" i="2" a="1"/>
  <c r="FY50" i="2" s="1"/>
  <c r="AH166" i="2" a="1"/>
  <c r="AH166" i="2" s="1"/>
  <c r="AH151" i="2" a="1"/>
  <c r="AH151" i="2" s="1"/>
  <c r="AH163" i="2" a="1"/>
  <c r="AH163" i="2" s="1"/>
  <c r="AH19" i="2" a="1"/>
  <c r="AH19" i="2" s="1"/>
  <c r="AH92" i="2" a="1"/>
  <c r="AH92" i="2" s="1"/>
  <c r="AH62" i="2" a="1"/>
  <c r="AH62" i="2" s="1"/>
  <c r="AH199" i="2" a="1"/>
  <c r="AH199" i="2" s="1"/>
  <c r="FD44" i="2" a="1"/>
  <c r="FD44" i="2" s="1"/>
  <c r="FY34" i="2" a="1"/>
  <c r="FY34" i="2" s="1"/>
  <c r="FY66" i="2" a="1"/>
  <c r="FY66" i="2" s="1"/>
  <c r="FY196" i="2" a="1"/>
  <c r="FY196" i="2" s="1"/>
  <c r="FY120" i="2" a="1"/>
  <c r="FY120" i="2" s="1"/>
  <c r="FD60" i="2" a="1"/>
  <c r="FD60" i="2" s="1"/>
  <c r="EI198" i="2" a="1"/>
  <c r="EI198" i="2" s="1"/>
  <c r="FY149" i="2" a="1"/>
  <c r="FY149" i="2" s="1"/>
  <c r="FY71" i="2" a="1"/>
  <c r="FY71" i="2" s="1"/>
  <c r="DN70" i="2" a="1"/>
  <c r="DN70" i="2" s="1"/>
  <c r="DN164" i="2" a="1"/>
  <c r="DN164" i="2" s="1"/>
  <c r="EI37" i="2" a="1"/>
  <c r="EI37" i="2" s="1"/>
  <c r="EI20" i="2" a="1"/>
  <c r="EI20" i="2" s="1"/>
  <c r="EI38" i="2" a="1"/>
  <c r="EI38" i="2" s="1"/>
  <c r="DN63" i="2" a="1"/>
  <c r="DN63" i="2" s="1"/>
  <c r="FD194" i="2" a="1"/>
  <c r="FD194" i="2" s="1"/>
  <c r="FD43" i="2" a="1"/>
  <c r="FD43" i="2" s="1"/>
  <c r="FY121" i="2" a="1"/>
  <c r="FY121" i="2" s="1"/>
  <c r="FY182" i="2" a="1"/>
  <c r="FY182" i="2" s="1"/>
  <c r="DN188" i="2" a="1"/>
  <c r="DN188" i="2" s="1"/>
  <c r="DN113" i="2" a="1"/>
  <c r="DN113" i="2" s="1"/>
  <c r="DN137" i="2" a="1"/>
  <c r="DN137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Y174" i="2" a="1"/>
  <c r="FY174" i="2" s="1"/>
  <c r="FY165" i="2" a="1"/>
  <c r="FY165" i="2" s="1"/>
  <c r="FY99" i="2" a="1"/>
  <c r="FY99" i="2" s="1"/>
  <c r="FY79" i="2" a="1"/>
  <c r="FY79" i="2" s="1"/>
  <c r="EI128" i="2" a="1"/>
  <c r="EI128" i="2" s="1"/>
  <c r="FY82" i="2" a="1"/>
  <c r="FY82" i="2" s="1"/>
  <c r="FY178" i="2" a="1"/>
  <c r="FY178" i="2" s="1"/>
  <c r="FY32" i="2" a="1"/>
  <c r="FY32" i="2" s="1"/>
  <c r="DN132" i="2" a="1"/>
  <c r="DN132" i="2" s="1"/>
  <c r="DN30" i="2" a="1"/>
  <c r="DN30" i="2" s="1"/>
  <c r="DN55" i="2" a="1"/>
  <c r="DN55" i="2" s="1"/>
  <c r="DN135" i="2" a="1"/>
  <c r="DN135" i="2" s="1"/>
  <c r="EI35" i="2" a="1"/>
  <c r="EI35" i="2" s="1"/>
  <c r="EI34" i="2" a="1"/>
  <c r="EI34" i="2" s="1"/>
  <c r="FD19" i="2" a="1"/>
  <c r="FD19" i="2" s="1"/>
  <c r="FD64" i="2" a="1"/>
  <c r="FD64" i="2" s="1"/>
  <c r="FY167" i="2" a="1"/>
  <c r="FY167" i="2" s="1"/>
  <c r="FY115" i="2" a="1"/>
  <c r="FY115" i="2" s="1"/>
  <c r="DN86" i="2" a="1"/>
  <c r="DN86" i="2" s="1"/>
  <c r="DN25" i="2" a="1"/>
  <c r="DN2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42" i="2" a="1"/>
  <c r="FY42" i="2" s="1"/>
  <c r="FY72" i="2" a="1"/>
  <c r="FY72" i="2" s="1"/>
  <c r="FY109" i="2" a="1"/>
  <c r="FY109" i="2" s="1"/>
  <c r="FD188" i="2" a="1"/>
  <c r="FD188" i="2" s="1"/>
  <c r="FY164" i="2" a="1"/>
  <c r="FY164" i="2" s="1"/>
  <c r="FY146" i="2" a="1"/>
  <c r="FY146" i="2" s="1"/>
  <c r="EI109" i="2" a="1"/>
  <c r="EI109" i="2" s="1"/>
  <c r="FD187" i="2" a="1"/>
  <c r="FD187" i="2" s="1"/>
  <c r="FY143" i="2" a="1"/>
  <c r="FY143" i="2" s="1"/>
  <c r="DN187" i="2" a="1"/>
  <c r="DN187" i="2" s="1"/>
  <c r="FD82" i="2" a="1"/>
  <c r="FD82" i="2" s="1"/>
  <c r="DN46" i="2" a="1"/>
  <c r="DN46" i="2" s="1"/>
  <c r="DN110" i="2" a="1"/>
  <c r="DN110" i="2" s="1"/>
  <c r="DN38" i="2" a="1"/>
  <c r="DN38" i="2" s="1"/>
  <c r="EI139" i="2" a="1"/>
  <c r="EI139" i="2" s="1"/>
  <c r="EI165" i="2" a="1"/>
  <c r="EI165" i="2" s="1"/>
  <c r="FD160" i="2" a="1"/>
  <c r="FD160" i="2" s="1"/>
  <c r="FD189" i="2" a="1"/>
  <c r="FD189" i="2" s="1"/>
  <c r="FY142" i="2" a="1"/>
  <c r="FY142" i="2" s="1"/>
  <c r="FY86" i="2" a="1"/>
  <c r="FY86" i="2" s="1"/>
  <c r="DN123" i="2" a="1"/>
  <c r="DN123" i="2" s="1"/>
  <c r="DN177" i="2" a="1"/>
  <c r="DN177" i="2" s="1"/>
  <c r="DN184" i="2" a="1"/>
  <c r="DN184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07" i="2" a="1"/>
  <c r="FD107" i="2" s="1"/>
  <c r="FY173" i="2" a="1"/>
  <c r="FY173" i="2" s="1"/>
  <c r="FD167" i="2" a="1"/>
  <c r="FD167" i="2" s="1"/>
  <c r="FY159" i="2" a="1"/>
  <c r="FY159" i="2" s="1"/>
  <c r="FD131" i="2" a="1"/>
  <c r="FD131" i="2" s="1"/>
  <c r="EI178" i="2" a="1"/>
  <c r="EI178" i="2" s="1"/>
  <c r="FY116" i="2" a="1"/>
  <c r="FY116" i="2" s="1"/>
  <c r="FY47" i="2" a="1"/>
  <c r="FY47" i="2" s="1"/>
  <c r="DN31" i="2" a="1"/>
  <c r="DN31" i="2" s="1"/>
  <c r="EI67" i="2" a="1"/>
  <c r="EI67" i="2" s="1"/>
  <c r="EI71" i="2" a="1"/>
  <c r="EI71" i="2" s="1"/>
  <c r="FD137" i="2" a="1"/>
  <c r="FD137" i="2" s="1"/>
  <c r="FD14" i="2" a="1"/>
  <c r="FD14" i="2" s="1"/>
  <c r="FY80" i="2" a="1"/>
  <c r="FY80" i="2" s="1"/>
  <c r="FY58" i="2" a="1"/>
  <c r="FY58" i="2" s="1"/>
  <c r="EI195" i="2" a="1"/>
  <c r="EI195" i="2" s="1"/>
  <c r="DN115" i="2" a="1"/>
  <c r="DN115" i="2" s="1"/>
  <c r="DN152" i="2" a="1"/>
  <c r="DN152" i="2" s="1"/>
  <c r="DN124" i="2" a="1"/>
  <c r="DN124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<sst xmlns="http://schemas.openxmlformats.org/spreadsheetml/2006/main" count="1167" uniqueCount="326">
  <si>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</si>
  <si>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</si>
  <si>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</si>
  <si>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</si>
  <si>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</si>
  <si>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</si>
  <si>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</si>
  <si>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</si>
  <si>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</si>
  <si>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</si>
  <si>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</si>
  <si>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</si>
  <si>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</si>
  <si>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</si>
  <si>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</si>
  <si>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</si>
  <si>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</si>
  <si>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</si>
  <si>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</si>
  <si>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</si>
  <si>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</si>
  <si>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</si>
  <si>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</si>
  <si>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</si>
  <si>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</si>
  <si>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</si>
  <si>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</si>
  <si>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</si>
  <si>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</si>
  <si>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</si>
  <si>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</si>
  <si>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</si>
  <si>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</si>
  <si>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</si>
  <si>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</si>
  <si>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</si>
  <si>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</si>
  <si>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</si>
  <si>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</si>
  <si>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</si>
  <si>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</si>
  <si>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</si>
  <si>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</si>
  <si>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</si>
  <si>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</si>
  <si>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</si>
  <si>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</si>
  <si>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</si>
  <si>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</si>
  <si>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</si>
  <si>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</si>
  <si>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</si>
  <si>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</si>
  <si>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</si>
  <si>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</si>
  <si>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</si>
  <si>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</si>
  <si>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</si>
  <si>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</si>
  <si>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</si>
  <si>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</si>
  <si>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</si>
  <si>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</si>
  <si>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</si>
  <si>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</si>
  <si>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</si>
  <si>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</si>
  <si>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</si>
  <si>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</si>
  <si>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</si>
  <si>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</si>
  <si>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</si>
  <si>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</si>
  <si>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</si>
  <si>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</si>
  <si>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</si>
  <si>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</si>
  <si>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</si>
  <si>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</si>
  <si>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</si>
  <si>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</si>
  <si>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</si>
  <si>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</si>
  <si>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</si>
  <si>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</si>
  <si>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</si>
  <si>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</si>
  <si>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</si>
  <si>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</si>
  <si>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</si>
  <si>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</si>
  <si>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</si>
  <si>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</si>
  <si>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</si>
  <si>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</si>
  <si>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</si>
  <si>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</si>
  <si>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</si>
  <si>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</si>
  <si>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</si>
  <si>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</si>
  <si>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</si>
  <si>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</si>
  <si>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</si>
  <si>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</si>
  <si>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</si>
  <si>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</si>
  <si>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</si>
  <si>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</si>
  <si>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</si>
  <si>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</si>
  <si>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</si>
  <si>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</si>
  <si>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</si>
  <si>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</si>
  <si>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</si>
  <si>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</si>
  <si>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</si>
  <si>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</si>
  <si>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</si>
  <si>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</si>
  <si>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</si>
  <si>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</si>
  <si>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</si>
  <si>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</si>
  <si>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</si>
  <si>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</si>
  <si>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</si>
  <si>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</si>
  <si>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</si>
  <si>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</si>
  <si>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</si>
  <si>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</si>
  <si>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</si>
  <si>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</si>
  <si>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</si>
  <si>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</si>
  <si>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</si>
  <si>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</si>
  <si>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</si>
  <si>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</si>
  <si>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</si>
  <si>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</si>
  <si>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</si>
  <si>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</si>
  <si>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</si>
  <si>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</si>
  <si>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</si>
  <si>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</si>
  <si>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</si>
  <si>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</si>
  <si>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</si>
  <si>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</si>
  <si>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</si>
  <si>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</si>
  <si>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</si>
  <si>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</si>
  <si>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</si>
  <si>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</si>
  <si>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</si>
  <si>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</si>
  <si>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</si>
  <si>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</si>
  <si>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</si>
  <si>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</si>
  <si>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</si>
  <si>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</si>
  <si>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</si>
  <si>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</si>
  <si>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</si>
  <si>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</si>
  <si>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</si>
  <si>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</si>
  <si>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</si>
  <si>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</si>
  <si>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</si>
  <si>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</si>
  <si>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</si>
  <si>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</si>
  <si>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</si>
  <si>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</si>
  <si>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</si>
  <si>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</si>
  <si>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</si>
  <si>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</si>
  <si>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</si>
  <si>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</si>
  <si>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</si>
  <si>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</si>
  <si>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</si>
  <si>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</si>
  <si>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</si>
  <si>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</si>
  <si>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</si>
  <si>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</si>
  <si>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</si>
  <si>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</si>
  <si>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</si>
  <si>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</si>
  <si>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</si>
  <si>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</si>
  <si>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</si>
  <si>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</si>
  <si>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</si>
  <si>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</si>
  <si>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</si>
  <si>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</si>
  <si>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</si>
  <si>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</si>
  <si>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</si>
  <si>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</si>
  <si>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</si>
  <si>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</si>
  <si>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</si>
  <si>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</si>
  <si>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</si>
  <si>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</si>
  <si>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</si>
  <si>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</si>
  <si>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</si>
  <si>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</si>
  <si>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</si>
  <si>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</si>
  <si>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</si>
  <si>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</si>
  <si>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</si>
  <si>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</si>
  <si>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</si>
  <si>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</si>
  <si>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</si>
  <si>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</si>
  <si>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</si>
  <si>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</si>
  <si>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</si>
  <si>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</si>
  <si>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</si>
  <si>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</si>
  <si>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</si>
  <si>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</si>
  <si>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</si>
  <si>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</si>
  <si>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</si>
  <si>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</si>
  <si>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</si>
  <si>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</si>
  <si>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</si>
  <si>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</si>
  <si>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</si>
  <si>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</si>
  <si>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</si>
  <si>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</si>
  <si>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</si>
  <si>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</si>
  <si>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</si>
  <si>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</si>
  <si>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</si>
  <si>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</si>
  <si>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</si>
  <si>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</si>
  <si>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</si>
  <si>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</si>
  <si>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</si>
  <si>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</si>
  <si>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</si>
  <si>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</si>
  <si>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</si>
  <si>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</si>
  <si>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</si>
  <si>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</si>
  <si>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</si>
  <si>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</si>
  <si>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</si>
  <si>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</si>
  <si>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</si>
  <si>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</si>
  <si>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</si>
  <si>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</si>
  <si>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</si>
  <si>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</si>
  <si>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</si>
  <si>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</si>
  <si>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</si>
  <si>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</si>
  <si>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</si>
  <si>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</si>
  <si>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</si>
  <si>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</si>
  <si>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</si>
  <si>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</si>
  <si>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</si>
  <si>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</si>
  <si>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</si>
  <si>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</si>
  <si>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</si>
  <si>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</si>
  <si>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</si>
  <si>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</si>
  <si>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</si>
  <si>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</si>
  <si>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</si>
  <si>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</si>
  <si>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</si>
  <si>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</si>
  <si>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</si>
  <si>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</si>
  <si>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</si>
  <si>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</si>
  <si>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</si>
  <si>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</si>
  <si>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</si>
  <si>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</si>
  <si>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</si>
  <si>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</si>
  <si>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</si>
  <si>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</si>
  <si>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</si>
  <si>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</si>
  <si>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</si>
  <si>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</si>
  <si>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</si>
  <si>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</si>
  <si>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</si>
  <si>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</si>
  <si>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</si>
  <si>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</t>
  </si>
  <si>
    <t>classe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</si>
</sst>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1.982352863799117</c:v>
                </c:pt>
                <c:pt idx="2">
                  <c:v>2.7041057308945007</c:v>
                </c:pt>
                <c:pt idx="3">
                  <c:v>3.6897598621626138</c:v>
                </c:pt>
                <c:pt idx="4">
                  <c:v>5.0361933713659557</c:v>
                </c:pt>
                <c:pt idx="5">
                  <c:v>6.8759805040375204</c:v>
                </c:pt>
                <c:pt idx="6">
                  <c:v>9.3905895478669326</c:v>
                </c:pt>
                <c:pt idx="7">
                  <c:v>12.828475768451668</c:v>
                </c:pt>
                <c:pt idx="8">
                  <c:v>17.529890118883106</c:v>
                </c:pt>
                <c:pt idx="9">
                  <c:v>23.960903477957146</c:v>
                </c:pt>
                <c:pt idx="10">
                  <c:v>32.760078992205301</c:v>
                </c:pt>
                <c:pt idx="11">
                  <c:v>44.802506807548788</c:v>
                </c:pt>
                <c:pt idx="12">
                  <c:v>61.287676834867518</c:v>
                </c:pt>
                <c:pt idx="13">
                  <c:v>83.860086052946073</c:v>
                </c:pt>
                <c:pt idx="14">
                  <c:v>114.7748046235494</c:v>
                </c:pt>
                <c:pt idx="15">
                  <c:v>157.12480016409424</c:v>
                </c:pt>
                <c:pt idx="16">
                  <c:v>184.29256128746965</c:v>
                </c:pt>
                <c:pt idx="17">
                  <c:v>211.36660740261004</c:v>
                </c:pt>
                <c:pt idx="18">
                  <c:v>238.36063977122194</c:v>
                </c:pt>
                <c:pt idx="19">
                  <c:v>265.2849948651608</c:v>
                </c:pt>
                <c:pt idx="20">
                  <c:v>292.14773647529722</c:v>
                </c:pt>
                <c:pt idx="21">
                  <c:v>309.86572545202949</c:v>
                </c:pt>
                <c:pt idx="22">
                  <c:v>327.56122929942916</c:v>
                </c:pt>
                <c:pt idx="23">
                  <c:v>345.2356333327478</c:v>
                </c:pt>
                <c:pt idx="24">
                  <c:v>362.89016946312154</c:v>
                </c:pt>
                <c:pt idx="25">
                  <c:v>380.52593997693936</c:v>
                </c:pt>
                <c:pt idx="26">
                  <c:v>401.47514685365581</c:v>
                </c:pt>
                <c:pt idx="27">
                  <c:v>447.33962338165787</c:v>
                </c:pt>
                <c:pt idx="28">
                  <c:v>493.10343438978794</c:v>
                </c:pt>
                <c:pt idx="29">
                  <c:v>538.77721839763512</c:v>
                </c:pt>
                <c:pt idx="30">
                  <c:v>584.369664578075</c:v>
                </c:pt>
                <c:pt idx="31">
                  <c:v>556.73999981392387</c:v>
                </c:pt>
                <c:pt idx="32">
                  <c:v>585.7858243463188</c:v>
                </c:pt>
                <c:pt idx="33">
                  <c:v>614.8016526190205</c:v>
                </c:pt>
                <c:pt idx="34">
                  <c:v>643.78909731180499</c:v>
                </c:pt>
                <c:pt idx="35">
                  <c:v>672.74961423997343</c:v>
                </c:pt>
                <c:pt idx="36">
                  <c:v>626.82419491945336</c:v>
                </c:pt>
                <c:pt idx="37">
                  <c:v>652.73905939374674</c:v>
                </c:pt>
                <c:pt idx="38">
                  <c:v>678.63272618537417</c:v>
                </c:pt>
                <c:pt idx="39">
                  <c:v>704.5061167842922</c:v>
                </c:pt>
                <c:pt idx="40">
                  <c:v>730.3600795704948</c:v>
                </c:pt>
                <c:pt idx="41">
                  <c:v>678.16211589764771</c:v>
                </c:pt>
                <c:pt idx="42">
                  <c:v>701.21423580401324</c:v>
                </c:pt>
                <c:pt idx="43">
                  <c:v>724.25085366682254</c:v>
                </c:pt>
                <c:pt idx="44">
                  <c:v>747.27253134259047</c:v>
                </c:pt>
                <c:pt idx="45">
                  <c:v>770.2797932912548</c:v>
                </c:pt>
                <c:pt idx="46">
                  <c:v>4.959485612423072E-12</c:v>
                </c:pt>
                <c:pt idx="47">
                  <c:v>4.959485612423072E-12</c:v>
                </c:pt>
                <c:pt idx="48">
                  <c:v>4.959485612423072E-12</c:v>
                </c:pt>
                <c:pt idx="49">
                  <c:v>4.959485612423072E-12</c:v>
                </c:pt>
                <c:pt idx="50">
                  <c:v>4.959485612423072E-12</c:v>
                </c:pt>
                <c:pt idx="51">
                  <c:v>4.959485612423072E-12</c:v>
                </c:pt>
                <c:pt idx="52">
                  <c:v>4.959485612423072E-12</c:v>
                </c:pt>
                <c:pt idx="53">
                  <c:v>4.959485612423072E-12</c:v>
                </c:pt>
                <c:pt idx="54">
                  <c:v>4.959485612423072E-12</c:v>
                </c:pt>
                <c:pt idx="55">
                  <c:v>4.959485612423072E-12</c:v>
                </c:pt>
                <c:pt idx="56">
                  <c:v>4.959485612423072E-12</c:v>
                </c:pt>
                <c:pt idx="57">
                  <c:v>4.959485612423072E-12</c:v>
                </c:pt>
                <c:pt idx="58">
                  <c:v>4.959485612423072E-12</c:v>
                </c:pt>
                <c:pt idx="59">
                  <c:v>4.959485612423072E-12</c:v>
                </c:pt>
                <c:pt idx="60">
                  <c:v>4.959485612423072E-12</c:v>
                </c:pt>
                <c:pt idx="61">
                  <c:v>4.959485612423072E-12</c:v>
                </c:pt>
                <c:pt idx="62">
                  <c:v>4.959485612423072E-12</c:v>
                </c:pt>
                <c:pt idx="63">
                  <c:v>4.959485612423072E-12</c:v>
                </c:pt>
                <c:pt idx="64">
                  <c:v>4.959485612423072E-12</c:v>
                </c:pt>
                <c:pt idx="65">
                  <c:v>4.959485612423072E-12</c:v>
                </c:pt>
                <c:pt idx="66">
                  <c:v>4.959485612423072E-12</c:v>
                </c:pt>
                <c:pt idx="67">
                  <c:v>4.959485612423072E-12</c:v>
                </c:pt>
                <c:pt idx="68">
                  <c:v>4.959485612423072E-12</c:v>
                </c:pt>
                <c:pt idx="69">
                  <c:v>4.959485612423072E-12</c:v>
                </c:pt>
                <c:pt idx="70">
                  <c:v>4.959485612423072E-12</c:v>
                </c:pt>
                <c:pt idx="71">
                  <c:v>4.959485612423072E-12</c:v>
                </c:pt>
                <c:pt idx="72">
                  <c:v>4.959485612423072E-12</c:v>
                </c:pt>
                <c:pt idx="73">
                  <c:v>4.959485612423072E-12</c:v>
                </c:pt>
                <c:pt idx="74">
                  <c:v>4.959485612423072E-12</c:v>
                </c:pt>
                <c:pt idx="75">
                  <c:v>4.959485612423072E-12</c:v>
                </c:pt>
                <c:pt idx="76">
                  <c:v>4.959485612423072E-12</c:v>
                </c:pt>
                <c:pt idx="77">
                  <c:v>4.959485612423072E-12</c:v>
                </c:pt>
                <c:pt idx="78">
                  <c:v>4.959485612423072E-12</c:v>
                </c:pt>
                <c:pt idx="79">
                  <c:v>4.959485612423072E-12</c:v>
                </c:pt>
                <c:pt idx="80">
                  <c:v>4.959485612423072E-12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139" zoomScaleNormal="80" workbookViewId="0">
      <selection activeCell="C14" sqref="C14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8" t="s">
        <v>231</v>
      </c>
      <c r="B5" s="268"/>
      <c r="C5" s="24">
        <v>3.9710000000000001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0.9</v>
      </c>
      <c r="D9" s="33">
        <f t="shared" ref="D9:D18" si="0">C9*$C$5</f>
        <v>3.5739000000000001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27</v>
      </c>
      <c r="C10" s="32">
        <v>0.1</v>
      </c>
      <c r="D10" s="33">
        <f t="shared" si="0"/>
        <v>0.39710000000000001</v>
      </c>
      <c r="E10" s="34">
        <v>48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3.9710000000000001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H33" s="23" t="s">
        <v>324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15</v>
      </c>
      <c r="B36" s="60">
        <v>126</v>
      </c>
      <c r="C36" s="60"/>
      <c r="D36" s="60"/>
      <c r="E36" s="51"/>
      <c r="F36" s="51"/>
      <c r="G36" s="51"/>
      <c r="H36" s="51"/>
      <c r="I36" s="49">
        <f>IFERROR(B36/A36,"")</f>
        <v>8.4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20</v>
      </c>
      <c r="B37" s="60">
        <v>238</v>
      </c>
      <c r="C37" s="60"/>
      <c r="D37" s="60"/>
      <c r="E37" s="51"/>
      <c r="F37" s="51"/>
      <c r="G37" s="51"/>
      <c r="H37" s="51"/>
      <c r="I37" s="53">
        <f t="shared" ref="I37:I55" si="1">IF(A37&lt;&gt;0,(B37-(B36-D36))/(A37-A36),"")</f>
        <v>22.4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25</v>
      </c>
      <c r="B38" s="60">
        <v>312</v>
      </c>
      <c r="C38" s="60">
        <v>1</v>
      </c>
      <c r="D38" s="60">
        <v>21</v>
      </c>
      <c r="E38" s="51"/>
      <c r="F38" s="51">
        <v>0.5</v>
      </c>
      <c r="G38" s="51">
        <v>0.5</v>
      </c>
      <c r="H38" s="51"/>
      <c r="I38" s="53">
        <f t="shared" si="1"/>
        <v>14.8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30</v>
      </c>
      <c r="B39" s="60">
        <f>505-D38</f>
        <v>484</v>
      </c>
      <c r="C39" s="60">
        <v>2</v>
      </c>
      <c r="D39" s="60">
        <v>48</v>
      </c>
      <c r="E39" s="51"/>
      <c r="F39" s="51">
        <v>0.5</v>
      </c>
      <c r="G39" s="51">
        <v>0.5</v>
      </c>
      <c r="H39" s="51"/>
      <c r="I39" s="49">
        <f t="shared" si="1"/>
        <v>38.6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35</v>
      </c>
      <c r="B40" s="60">
        <f>628-D39-D38</f>
        <v>559</v>
      </c>
      <c r="C40" s="60">
        <v>3</v>
      </c>
      <c r="D40" s="60">
        <v>61</v>
      </c>
      <c r="E40" s="51">
        <v>0.1</v>
      </c>
      <c r="F40" s="51">
        <v>0.5</v>
      </c>
      <c r="G40" s="51">
        <v>0.4</v>
      </c>
      <c r="H40" s="51"/>
      <c r="I40" s="49">
        <f t="shared" si="1"/>
        <v>24.6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40</v>
      </c>
      <c r="B41" s="60">
        <f>738-D40-D39-D38</f>
        <v>608</v>
      </c>
      <c r="C41" s="60">
        <v>4</v>
      </c>
      <c r="D41" s="60">
        <v>64</v>
      </c>
      <c r="E41" s="51">
        <v>0.25</v>
      </c>
      <c r="F41" s="51">
        <v>0.5</v>
      </c>
      <c r="G41" s="51">
        <v>0.25</v>
      </c>
      <c r="H41" s="51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45</v>
      </c>
      <c r="B42" s="60">
        <f>836-D41-D40-D39-D38</f>
        <v>642</v>
      </c>
      <c r="C42" s="60">
        <v>5</v>
      </c>
      <c r="D42" s="60">
        <v>642</v>
      </c>
      <c r="E42" s="51">
        <v>0.75</v>
      </c>
      <c r="F42" s="51">
        <v>0.15</v>
      </c>
      <c r="G42" s="51">
        <v>0.1</v>
      </c>
      <c r="H42" s="51"/>
      <c r="I42" s="53">
        <f t="shared" si="1"/>
        <v>19.600000000000001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H59" s="23" t="s">
        <v>325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18</v>
      </c>
      <c r="B62" s="60">
        <v>112</v>
      </c>
      <c r="C62" s="60">
        <v>1</v>
      </c>
      <c r="D62" s="60">
        <v>20</v>
      </c>
      <c r="E62" s="51"/>
      <c r="F62" s="51"/>
      <c r="G62" s="51">
        <v>1</v>
      </c>
      <c r="H62" s="51"/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21</v>
      </c>
      <c r="B63" s="60">
        <f>166-D62</f>
        <v>146</v>
      </c>
      <c r="C63" s="60">
        <v>2</v>
      </c>
      <c r="D63" s="60">
        <v>26</v>
      </c>
      <c r="E63" s="51"/>
      <c r="F63" s="51"/>
      <c r="G63" s="51">
        <v>1</v>
      </c>
      <c r="H63" s="51"/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24</v>
      </c>
      <c r="B64" s="60">
        <f>214-D63-D62</f>
        <v>168</v>
      </c>
      <c r="C64" s="60">
        <v>3</v>
      </c>
      <c r="D64" s="60">
        <v>29</v>
      </c>
      <c r="E64" s="51"/>
      <c r="F64" s="51"/>
      <c r="G64" s="51">
        <v>1</v>
      </c>
      <c r="H64" s="51"/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30</v>
      </c>
      <c r="B65" s="60">
        <f>299-D64-D63-D62</f>
        <v>224</v>
      </c>
      <c r="C65" s="60">
        <v>4</v>
      </c>
      <c r="D65" s="60">
        <v>53</v>
      </c>
      <c r="E65" s="51">
        <v>0.1</v>
      </c>
      <c r="F65" s="51"/>
      <c r="G65" s="51">
        <v>0.9</v>
      </c>
      <c r="H65" s="51"/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36</v>
      </c>
      <c r="B66" s="60">
        <f>376-D65-D64-D63-D62</f>
        <v>248</v>
      </c>
      <c r="C66" s="60">
        <v>5</v>
      </c>
      <c r="D66" s="60">
        <v>62</v>
      </c>
      <c r="E66" s="51">
        <v>0.2</v>
      </c>
      <c r="F66" s="51"/>
      <c r="G66" s="51">
        <v>0.8</v>
      </c>
      <c r="H66" s="51"/>
      <c r="I66" s="49">
        <f t="shared" ref="I66:I81" si="2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42</v>
      </c>
      <c r="B67" s="60">
        <f>445-D66-D65-D64-D63-D62</f>
        <v>255</v>
      </c>
      <c r="C67" s="60">
        <v>6</v>
      </c>
      <c r="D67" s="60">
        <v>67</v>
      </c>
      <c r="E67" s="51">
        <v>0.7</v>
      </c>
      <c r="F67" s="51"/>
      <c r="G67" s="51">
        <v>0.3</v>
      </c>
      <c r="H67" s="51"/>
      <c r="I67" s="49">
        <f t="shared" si="2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48</v>
      </c>
      <c r="B68" s="60">
        <f>509-D67-D66-D65-D64-D63-D62</f>
        <v>252</v>
      </c>
      <c r="C68" s="60">
        <v>7</v>
      </c>
      <c r="D68" s="60">
        <v>252</v>
      </c>
      <c r="E68" s="51">
        <v>0.7</v>
      </c>
      <c r="F68" s="51"/>
      <c r="G68" s="51">
        <v>0.3</v>
      </c>
      <c r="H68" s="51"/>
      <c r="I68" s="49">
        <f t="shared" si="2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320.29885421543776</v>
      </c>
      <c r="T3" s="59">
        <f>IF('Données projet'!E9&gt;30,$R$33-$H$33,LOOKUP('Données projet'!$E$9,$A$3:$A$203,R3:R203)-LOOKUP('Données projet'!$E$9,$A$3:$A$203,$H$3:$H$203))</f>
        <v>546.34638548793396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150.88336605939878</v>
      </c>
      <c r="AO3" s="59">
        <f>IF('Données projet'!E10&gt;30,$AM$33-$H$33,LOOKUP('Données projet'!$E$10,$A$3:$A$203,AM3:AM203)-LOOKUP('Données projet'!$E$10,$A$3:$A$203,$H$3:$H$203))</f>
        <v>268.54782308462387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8.4</v>
      </c>
      <c r="N4" s="13">
        <f>IF('Données projet'!$A$36&gt;35,N3+M4-V3,IF(A4&lt;'Données projet'!$A$36,$K$205^A4,IF(A4='Données projet'!$A$36,'Données projet'!$B$36,N3+M4-V3)))</f>
        <v>1.3804627841663464</v>
      </c>
      <c r="O4" s="13">
        <f>N4*VLOOKUP('Données projet'!$B$9,Paramètres!$A$1:$I$89,3,0)*VLOOKUP('Données projet'!$B$9,Paramètres!$A$1:$I$89,5,0)</f>
        <v>0.77167869634898767</v>
      </c>
      <c r="P4" s="13">
        <f>EXP(-1.0587+0.8836*LN(O4)+0.284)</f>
        <v>0.36651433549739537</v>
      </c>
      <c r="Q4" s="20">
        <f t="shared" ref="Q4:Q34" si="2">(O4+P4)*0.475*44/12</f>
        <v>1.982352863799117</v>
      </c>
      <c r="R4" s="59">
        <f t="shared" si="0"/>
        <v>295.31568619713244</v>
      </c>
      <c r="S4" s="59">
        <f ca="1">AVERAGE(OFFSET($R$3,0,0,'Données projet'!$E$9+1,1))-AVERAGE(OFFSET($H$3,0,0,'Données projet'!$E$9+1,1))</f>
        <v>320.29885421543776</v>
      </c>
      <c r="T4" s="59">
        <f>$T$3</f>
        <v>546.34638548793396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295.41287054239268</v>
      </c>
      <c r="AN4" s="59">
        <f ca="1">AVERAGE(OFFSET($AM$3,0,0,'Données projet'!$E$10+1,1))-AVERAGE(OFFSET($H$3,0,0,'Données projet'!$E$10+1,1))</f>
        <v>150.88336605939878</v>
      </c>
      <c r="AO4" s="59">
        <f>$AO$3</f>
        <v>268.54782308462387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8.4</v>
      </c>
      <c r="N5" s="13">
        <f>IF('Données projet'!$A$36&gt;35,N4+M5-V4,IF(A5&lt;'Données projet'!$A$36,$K$205^A5,IF(A5='Données projet'!$A$36,'Données projet'!$B$36,N4+M5-V4)))</f>
        <v>1.9056774984683007</v>
      </c>
      <c r="O5" s="13">
        <f>N5*VLOOKUP('Données projet'!$B$9,Paramètres!$A$1:$I$89,3,0)*VLOOKUP('Données projet'!$B$9,Paramètres!$A$1:$I$89,5,0)</f>
        <v>1.0652737216437802</v>
      </c>
      <c r="P5" s="13">
        <f t="shared" ref="P5:P68" si="33">EXP(-1.0587+0.8836*LN(O5)+0.284)</f>
        <v>0.4873228702573687</v>
      </c>
      <c r="Q5" s="20">
        <f t="shared" si="2"/>
        <v>2.7041057308945007</v>
      </c>
      <c r="R5" s="59">
        <f t="shared" si="0"/>
        <v>296.03743906422784</v>
      </c>
      <c r="S5" s="59">
        <f ca="1">AVERAGE(OFFSET($R$3,0,0,'Données projet'!$E$9+1,1))-AVERAGE(OFFSET($H$3,0,0,'Données projet'!$E$9+1,1))</f>
        <v>320.29885421543776</v>
      </c>
      <c r="T5" s="59">
        <f t="shared" ref="T5:T68" si="34">$T$3</f>
        <v>546.34638548793396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296.01006937687282</v>
      </c>
      <c r="AN5" s="59">
        <f ca="1">AVERAGE(OFFSET($AM$3,0,0,'Données projet'!$E$10+1,1))-AVERAGE(OFFSET($H$3,0,0,'Données projet'!$E$10+1,1))</f>
        <v>150.88336605939878</v>
      </c>
      <c r="AO5" s="59">
        <f t="shared" ref="AO5:AO68" si="36">$AO$3</f>
        <v>268.54782308462387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8.4</v>
      </c>
      <c r="N6" s="13">
        <f>IF('Données projet'!$A$36&gt;35,N5+M6-V5,IF(A6&lt;'Données projet'!$A$36,$K$205^A6,IF(A6='Données projet'!$A$36,'Données projet'!$B$36,N5+M6-V5)))</f>
        <v>2.6307168652587087</v>
      </c>
      <c r="O6" s="13">
        <f>N6*VLOOKUP('Données projet'!$B$9,Paramètres!$A$1:$I$89,3,0)*VLOOKUP('Données projet'!$B$9,Paramètres!$A$1:$I$89,5,0)</f>
        <v>1.4705707276796183</v>
      </c>
      <c r="P6" s="13">
        <f t="shared" si="33"/>
        <v>0.64795168121757629</v>
      </c>
      <c r="Q6" s="20">
        <f t="shared" si="2"/>
        <v>3.6897598621626138</v>
      </c>
      <c r="R6" s="59">
        <f t="shared" si="0"/>
        <v>297.0230931954959</v>
      </c>
      <c r="S6" s="59">
        <f ca="1">AVERAGE(OFFSET($R$3,0,0,'Données projet'!$E$9+1,1))-AVERAGE(OFFSET($H$3,0,0,'Données projet'!$E$9+1,1))</f>
        <v>320.29885421543776</v>
      </c>
      <c r="T6" s="59">
        <f t="shared" si="34"/>
        <v>546.34638548793396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296.77946221210669</v>
      </c>
      <c r="AN6" s="59">
        <f ca="1">AVERAGE(OFFSET($AM$3,0,0,'Données projet'!$E$10+1,1))-AVERAGE(OFFSET($H$3,0,0,'Données projet'!$E$10+1,1))</f>
        <v>150.88336605939878</v>
      </c>
      <c r="AO6" s="59">
        <f t="shared" si="36"/>
        <v>268.54782308462387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8.4</v>
      </c>
      <c r="N7" s="13">
        <f>IF('Données projet'!$A$36&gt;35,N6+M7-V6,IF(A7&lt;'Données projet'!$A$36,$K$205^A7,IF(A7='Données projet'!$A$36,'Données projet'!$B$36,N6+M7-V6)))</f>
        <v>3.6316067281684004</v>
      </c>
      <c r="O7" s="13">
        <f>N7*VLOOKUP('Données projet'!$B$9,Paramètres!$A$1:$I$89,3,0)*VLOOKUP('Données projet'!$B$9,Paramètres!$A$1:$I$89,5,0)</f>
        <v>2.030068161046136</v>
      </c>
      <c r="P7" s="13">
        <f t="shared" si="33"/>
        <v>0.86152611916398214</v>
      </c>
      <c r="Q7" s="20">
        <f t="shared" si="2"/>
        <v>5.0361933713659557</v>
      </c>
      <c r="R7" s="59">
        <f t="shared" si="0"/>
        <v>298.3695267046993</v>
      </c>
      <c r="S7" s="59">
        <f ca="1">AVERAGE(OFFSET($R$3,0,0,'Données projet'!$E$9+1,1))-AVERAGE(OFFSET($H$3,0,0,'Données projet'!$E$9+1,1))</f>
        <v>320.29885421543776</v>
      </c>
      <c r="T7" s="59">
        <f t="shared" si="34"/>
        <v>546.34638548793396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297.77088682029563</v>
      </c>
      <c r="AN7" s="59">
        <f ca="1">AVERAGE(OFFSET($AM$3,0,0,'Données projet'!$E$10+1,1))-AVERAGE(OFFSET($H$3,0,0,'Données projet'!$E$10+1,1))</f>
        <v>150.88336605939878</v>
      </c>
      <c r="AO7" s="59">
        <f t="shared" si="36"/>
        <v>268.54782308462387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8.4</v>
      </c>
      <c r="N8" s="13">
        <f>IF('Données projet'!$A$36&gt;35,N7+M8-V7,IF(A8&lt;'Données projet'!$A$36,$K$205^A8,IF(A8='Données projet'!$A$36,'Données projet'!$B$36,N7+M8-V7)))</f>
        <v>5.0132979349645854</v>
      </c>
      <c r="O8" s="13">
        <f>N8*VLOOKUP('Données projet'!$B$9,Paramètres!$A$1:$I$89,3,0)*VLOOKUP('Données projet'!$B$9,Paramètres!$A$1:$I$89,5,0)</f>
        <v>2.802433545645203</v>
      </c>
      <c r="P8" s="13">
        <f t="shared" si="33"/>
        <v>1.1454978442327994</v>
      </c>
      <c r="Q8" s="20">
        <f t="shared" si="2"/>
        <v>6.8759805040375204</v>
      </c>
      <c r="R8" s="59">
        <f t="shared" si="0"/>
        <v>300.20931383737081</v>
      </c>
      <c r="S8" s="59">
        <f ca="1">AVERAGE(OFFSET($R$3,0,0,'Données projet'!$E$9+1,1))-AVERAGE(OFFSET($H$3,0,0,'Données projet'!$E$9+1,1))</f>
        <v>320.29885421543776</v>
      </c>
      <c r="T8" s="59">
        <f t="shared" si="34"/>
        <v>546.34638548793396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299.04865636217778</v>
      </c>
      <c r="AN8" s="59">
        <f ca="1">AVERAGE(OFFSET($AM$3,0,0,'Données projet'!$E$10+1,1))-AVERAGE(OFFSET($H$3,0,0,'Données projet'!$E$10+1,1))</f>
        <v>150.88336605939878</v>
      </c>
      <c r="AO8" s="59">
        <f t="shared" si="36"/>
        <v>268.54782308462387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8.4</v>
      </c>
      <c r="N9" s="13">
        <f>IF('Données projet'!$A$36&gt;35,N8+M9-V8,IF(A9&lt;'Données projet'!$A$36,$K$205^A9,IF(A9='Données projet'!$A$36,'Données projet'!$B$36,N8+M9-V8)))</f>
        <v>6.9206712251566076</v>
      </c>
      <c r="O9" s="13">
        <f>N9*VLOOKUP('Données projet'!$B$9,Paramètres!$A$1:$I$89,3,0)*VLOOKUP('Données projet'!$B$9,Paramètres!$A$1:$I$89,5,0)</f>
        <v>3.8686552148625433</v>
      </c>
      <c r="P9" s="13">
        <f t="shared" si="33"/>
        <v>1.5230708413289964</v>
      </c>
      <c r="Q9" s="20">
        <f t="shared" si="2"/>
        <v>9.3905895478669326</v>
      </c>
      <c r="R9" s="59">
        <f t="shared" si="0"/>
        <v>302.72392288120022</v>
      </c>
      <c r="S9" s="59">
        <f ca="1">AVERAGE(OFFSET($R$3,0,0,'Données projet'!$E$9+1,1))-AVERAGE(OFFSET($H$3,0,0,'Données projet'!$E$9+1,1))</f>
        <v>320.29885421543776</v>
      </c>
      <c r="T9" s="59">
        <f t="shared" si="34"/>
        <v>546.34638548793396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300.69577751473082</v>
      </c>
      <c r="AN9" s="59">
        <f ca="1">AVERAGE(OFFSET($AM$3,0,0,'Données projet'!$E$10+1,1))-AVERAGE(OFFSET($H$3,0,0,'Données projet'!$E$10+1,1))</f>
        <v>150.88336605939878</v>
      </c>
      <c r="AO9" s="59">
        <f t="shared" si="36"/>
        <v>268.54782308462387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8.4</v>
      </c>
      <c r="N10" s="13">
        <f>IF('Données projet'!$A$36&gt;35,N9+M10-V9,IF(A10&lt;'Données projet'!$A$36,$K$205^A10,IF(A10='Données projet'!$A$36,'Données projet'!$B$36,N9+M10-V9)))</f>
        <v>9.5537290677796101</v>
      </c>
      <c r="O10" s="13">
        <f>N10*VLOOKUP('Données projet'!$B$9,Paramètres!$A$1:$I$89,3,0)*VLOOKUP('Données projet'!$B$9,Paramètres!$A$1:$I$89,5,0)</f>
        <v>5.3405345488888027</v>
      </c>
      <c r="P10" s="13">
        <f t="shared" si="33"/>
        <v>2.0250974712748349</v>
      </c>
      <c r="Q10" s="20">
        <f t="shared" si="2"/>
        <v>12.828475768451668</v>
      </c>
      <c r="R10" s="59">
        <f t="shared" si="0"/>
        <v>306.16180910178497</v>
      </c>
      <c r="S10" s="59">
        <f ca="1">AVERAGE(OFFSET($R$3,0,0,'Données projet'!$E$9+1,1))-AVERAGE(OFFSET($H$3,0,0,'Données projet'!$E$9+1,1))</f>
        <v>320.29885421543776</v>
      </c>
      <c r="T10" s="59">
        <f t="shared" si="34"/>
        <v>546.34638548793396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302.81940145897039</v>
      </c>
      <c r="AN10" s="59">
        <f ca="1">AVERAGE(OFFSET($AM$3,0,0,'Données projet'!$E$10+1,1))-AVERAGE(OFFSET($H$3,0,0,'Données projet'!$E$10+1,1))</f>
        <v>150.88336605939878</v>
      </c>
      <c r="AO10" s="59">
        <f t="shared" si="36"/>
        <v>268.54782308462387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8.4</v>
      </c>
      <c r="N11" s="13">
        <f>IF('Données projet'!$A$36&gt;35,N10+M11-V10,IF(A11&lt;'Données projet'!$A$36,$K$205^A11,IF(A11='Données projet'!$A$36,'Données projet'!$B$36,N10+M11-V10)))</f>
        <v>13.188567428077993</v>
      </c>
      <c r="O11" s="13">
        <f>N11*VLOOKUP('Données projet'!$B$9,Paramètres!$A$1:$I$89,3,0)*VLOOKUP('Données projet'!$B$9,Paramètres!$A$1:$I$89,5,0)</f>
        <v>7.3724091922955983</v>
      </c>
      <c r="P11" s="13">
        <f t="shared" si="33"/>
        <v>2.6925994884028341</v>
      </c>
      <c r="Q11" s="20">
        <f t="shared" si="2"/>
        <v>17.529890118883106</v>
      </c>
      <c r="R11" s="59">
        <f t="shared" si="0"/>
        <v>310.8632234522164</v>
      </c>
      <c r="S11" s="59">
        <f ca="1">AVERAGE(OFFSET($R$3,0,0,'Données projet'!$E$9+1,1))-AVERAGE(OFFSET($H$3,0,0,'Données projet'!$E$9+1,1))</f>
        <v>320.29885421543776</v>
      </c>
      <c r="T11" s="59">
        <f t="shared" si="34"/>
        <v>546.34638548793396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305.55786905533148</v>
      </c>
      <c r="AN11" s="59">
        <f ca="1">AVERAGE(OFFSET($AM$3,0,0,'Données projet'!$E$10+1,1))-AVERAGE(OFFSET($H$3,0,0,'Données projet'!$E$10+1,1))</f>
        <v>150.88336605939878</v>
      </c>
      <c r="AO11" s="59">
        <f t="shared" si="36"/>
        <v>268.54782308462387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8.4</v>
      </c>
      <c r="N12" s="13">
        <f>IF('Données projet'!$A$36&gt;35,N11+M12-V11,IF(A12&lt;'Données projet'!$A$36,$K$205^A12,IF(A12='Données projet'!$A$36,'Données projet'!$B$36,N11+M12-V11)))</f>
        <v>18.206326510930136</v>
      </c>
      <c r="O12" s="13">
        <f>N12*VLOOKUP('Données projet'!$B$9,Paramètres!$A$1:$I$89,3,0)*VLOOKUP('Données projet'!$B$9,Paramètres!$A$1:$I$89,5,0)</f>
        <v>10.177336519609947</v>
      </c>
      <c r="P12" s="13">
        <f t="shared" si="33"/>
        <v>3.5801200227577907</v>
      </c>
      <c r="Q12" s="20">
        <f t="shared" si="2"/>
        <v>23.960903477957146</v>
      </c>
      <c r="R12" s="59">
        <f t="shared" si="0"/>
        <v>317.29423681129049</v>
      </c>
      <c r="S12" s="59">
        <f ca="1">AVERAGE(OFFSET($R$3,0,0,'Données projet'!$E$9+1,1))-AVERAGE(OFFSET($H$3,0,0,'Données projet'!$E$9+1,1))</f>
        <v>320.29885421543776</v>
      </c>
      <c r="T12" s="59">
        <f t="shared" si="34"/>
        <v>546.34638548793396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309.08981769718088</v>
      </c>
      <c r="AN12" s="59">
        <f ca="1">AVERAGE(OFFSET($AM$3,0,0,'Données projet'!$E$10+1,1))-AVERAGE(OFFSET($H$3,0,0,'Données projet'!$E$10+1,1))</f>
        <v>150.88336605939878</v>
      </c>
      <c r="AO12" s="59">
        <f t="shared" si="36"/>
        <v>268.54782308462387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8.4</v>
      </c>
      <c r="N13" s="13">
        <f>IF('Données projet'!$A$36&gt;35,N12+M13-V12,IF(A13&lt;'Données projet'!$A$36,$K$205^A13,IF(A13='Données projet'!$A$36,'Données projet'!$B$36,N12+M13-V12)))</f>
        <v>25.133156184720182</v>
      </c>
      <c r="O13" s="13">
        <f>N13*VLOOKUP('Données projet'!$B$9,Paramètres!$A$1:$I$89,3,0)*VLOOKUP('Données projet'!$B$9,Paramètres!$A$1:$I$89,5,0)</f>
        <v>14.049434307258583</v>
      </c>
      <c r="P13" s="13">
        <f t="shared" si="33"/>
        <v>4.7601804251080955</v>
      </c>
      <c r="Q13" s="20">
        <f t="shared" si="2"/>
        <v>32.760078992205301</v>
      </c>
      <c r="R13" s="59">
        <f t="shared" si="0"/>
        <v>326.09341232553862</v>
      </c>
      <c r="S13" s="59">
        <f ca="1">AVERAGE(OFFSET($R$3,0,0,'Données projet'!$E$9+1,1))-AVERAGE(OFFSET($H$3,0,0,'Données projet'!$E$9+1,1))</f>
        <v>320.29885421543776</v>
      </c>
      <c r="T13" s="59">
        <f t="shared" si="34"/>
        <v>546.34638548793396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313.64595475887927</v>
      </c>
      <c r="AN13" s="59">
        <f ca="1">AVERAGE(OFFSET($AM$3,0,0,'Données projet'!$E$10+1,1))-AVERAGE(OFFSET($H$3,0,0,'Données projet'!$E$10+1,1))</f>
        <v>150.88336605939878</v>
      </c>
      <c r="AO13" s="59">
        <f t="shared" si="36"/>
        <v>268.54782308462387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8.4</v>
      </c>
      <c r="N14" s="13">
        <f>IF('Données projet'!$A$36&gt;35,N13+M14-V13,IF(A14&lt;'Données projet'!$A$36,$K$205^A14,IF(A14='Données projet'!$A$36,'Données projet'!$B$36,N13+M14-V13)))</f>
        <v>34.695386761646446</v>
      </c>
      <c r="O14" s="13">
        <f>N14*VLOOKUP('Données projet'!$B$9,Paramètres!$A$1:$I$89,3,0)*VLOOKUP('Données projet'!$B$9,Paramètres!$A$1:$I$89,5,0)</f>
        <v>19.394721199760365</v>
      </c>
      <c r="P14" s="13">
        <f t="shared" si="33"/>
        <v>6.3292061538561635</v>
      </c>
      <c r="Q14" s="20">
        <f t="shared" si="2"/>
        <v>44.802506807548788</v>
      </c>
      <c r="R14" s="59">
        <f t="shared" si="0"/>
        <v>338.13584014088212</v>
      </c>
      <c r="S14" s="59">
        <f ca="1">AVERAGE(OFFSET($R$3,0,0,'Données projet'!$E$9+1,1))-AVERAGE(OFFSET($H$3,0,0,'Données projet'!$E$9+1,1))</f>
        <v>320.29885421543776</v>
      </c>
      <c r="T14" s="59">
        <f t="shared" si="34"/>
        <v>546.34638548793396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319.52428046851463</v>
      </c>
      <c r="AN14" s="59">
        <f ca="1">AVERAGE(OFFSET($AM$3,0,0,'Données projet'!$E$10+1,1))-AVERAGE(OFFSET($H$3,0,0,'Données projet'!$E$10+1,1))</f>
        <v>150.88336605939878</v>
      </c>
      <c r="AO14" s="59">
        <f t="shared" si="36"/>
        <v>268.54782308462387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8.4</v>
      </c>
      <c r="N15" s="13">
        <f>IF('Données projet'!$A$36&gt;35,N14+M15-V14,IF(A15&lt;'Données projet'!$A$36,$K$205^A15,IF(A15='Données projet'!$A$36,'Données projet'!$B$36,N14+M15-V14)))</f>
        <v>47.895690206710654</v>
      </c>
      <c r="O15" s="13">
        <f>N15*VLOOKUP('Données projet'!$B$9,Paramètres!$A$1:$I$89,3,0)*VLOOKUP('Données projet'!$B$9,Paramètres!$A$1:$I$89,5,0)</f>
        <v>26.77369082555126</v>
      </c>
      <c r="P15" s="13">
        <f t="shared" si="33"/>
        <v>8.415405921741101</v>
      </c>
      <c r="Q15" s="20">
        <f t="shared" si="2"/>
        <v>61.287676834867518</v>
      </c>
      <c r="R15" s="59">
        <f t="shared" si="0"/>
        <v>354.62101016820083</v>
      </c>
      <c r="S15" s="59">
        <f ca="1">AVERAGE(OFFSET($R$3,0,0,'Données projet'!$E$9+1,1))-AVERAGE(OFFSET($H$3,0,0,'Données projet'!$E$9+1,1))</f>
        <v>320.29885421543776</v>
      </c>
      <c r="T15" s="59">
        <f t="shared" si="34"/>
        <v>546.34638548793396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327.10977338908407</v>
      </c>
      <c r="AN15" s="59">
        <f ca="1">AVERAGE(OFFSET($AM$3,0,0,'Données projet'!$E$10+1,1))-AVERAGE(OFFSET($H$3,0,0,'Données projet'!$E$10+1,1))</f>
        <v>150.88336605939878</v>
      </c>
      <c r="AO15" s="59">
        <f t="shared" si="36"/>
        <v>268.54782308462387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8.4</v>
      </c>
      <c r="N16" s="13">
        <f>IF('Données projet'!$A$36&gt;35,N15+M16-V15,IF(A16&lt;'Données projet'!$A$36,$K$205^A16,IF(A16='Données projet'!$A$36,'Données projet'!$B$36,N15+M16-V15)))</f>
        <v>66.118217852324591</v>
      </c>
      <c r="O16" s="13">
        <f>N16*VLOOKUP('Données projet'!$B$9,Paramètres!$A$1:$I$89,3,0)*VLOOKUP('Données projet'!$B$9,Paramètres!$A$1:$I$89,5,0)</f>
        <v>36.960083779449448</v>
      </c>
      <c r="P16" s="13">
        <f t="shared" si="33"/>
        <v>11.189247925591365</v>
      </c>
      <c r="Q16" s="20">
        <f t="shared" si="2"/>
        <v>83.860086052946073</v>
      </c>
      <c r="R16" s="59">
        <f t="shared" si="0"/>
        <v>377.1934193862794</v>
      </c>
      <c r="S16" s="59">
        <f ca="1">AVERAGE(OFFSET($R$3,0,0,'Données projet'!$E$9+1,1))-AVERAGE(OFFSET($H$3,0,0,'Données projet'!$E$9+1,1))</f>
        <v>320.29885421543776</v>
      </c>
      <c r="T16" s="59">
        <f t="shared" si="34"/>
        <v>546.34638548793396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336.8998499722349</v>
      </c>
      <c r="AN16" s="59">
        <f ca="1">AVERAGE(OFFSET($AM$3,0,0,'Données projet'!$E$10+1,1))-AVERAGE(OFFSET($H$3,0,0,'Données projet'!$E$10+1,1))</f>
        <v>150.88336605939878</v>
      </c>
      <c r="AO16" s="59">
        <f t="shared" si="36"/>
        <v>268.54782308462387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8.4</v>
      </c>
      <c r="N17" s="13">
        <f>IF('Données projet'!$A$36&gt;35,N16+M17-V16,IF(A17&lt;'Données projet'!$A$36,$K$205^A17,IF(A17='Données projet'!$A$36,'Données projet'!$B$36,N16+M17-V16)))</f>
        <v>91.273739100537057</v>
      </c>
      <c r="O17" s="13">
        <f>N17*VLOOKUP('Données projet'!$B$9,Paramètres!$A$1:$I$89,3,0)*VLOOKUP('Données projet'!$B$9,Paramètres!$A$1:$I$89,5,0)</f>
        <v>51.02202015720021</v>
      </c>
      <c r="P17" s="13">
        <f t="shared" si="33"/>
        <v>14.877389196033896</v>
      </c>
      <c r="Q17" s="20">
        <f t="shared" si="2"/>
        <v>114.7748046235494</v>
      </c>
      <c r="R17" s="59">
        <f t="shared" si="0"/>
        <v>408.10813795688273</v>
      </c>
      <c r="S17" s="59">
        <f ca="1">AVERAGE(OFFSET($R$3,0,0,'Données projet'!$E$9+1,1))-AVERAGE(OFFSET($H$3,0,0,'Données projet'!$E$9+1,1))</f>
        <v>320.29885421543776</v>
      </c>
      <c r="T17" s="59">
        <f t="shared" si="34"/>
        <v>546.34638548793396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349.53729592395661</v>
      </c>
      <c r="AN17" s="59">
        <f ca="1">AVERAGE(OFFSET($AM$3,0,0,'Données projet'!$E$10+1,1))-AVERAGE(OFFSET($H$3,0,0,'Données projet'!$E$10+1,1))</f>
        <v>150.88336605939878</v>
      </c>
      <c r="AO17" s="59">
        <f t="shared" si="36"/>
        <v>268.54782308462387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126</v>
      </c>
      <c r="L18" s="12">
        <f>VLOOKUP(A18,'Données projet'!$A$35:$I$55,9,0)</f>
        <v>8.4</v>
      </c>
      <c r="M18" s="12">
        <f t="array" ref="M18">INDEX(L:L,MIN(IF(ISNUMBER(L18:L214),ROW(L18:L214),"")))</f>
        <v>8.4</v>
      </c>
      <c r="N18" s="13">
        <f>IF('Données projet'!$A$36&gt;35,N17+M18-V17,IF(A18&lt;'Données projet'!$A$36,$K$205^A18,IF(A18='Données projet'!$A$36,'Données projet'!$B$36,N17+M18-V17)))</f>
        <v>126</v>
      </c>
      <c r="O18" s="13">
        <f>N18*VLOOKUP('Données projet'!$B$9,Paramètres!$A$1:$I$89,3,0)*VLOOKUP('Données projet'!$B$9,Paramètres!$A$1:$I$89,5,0)</f>
        <v>70.433999999999997</v>
      </c>
      <c r="P18" s="13">
        <f t="shared" si="33"/>
        <v>19.78119626646561</v>
      </c>
      <c r="Q18" s="20">
        <f t="shared" si="2"/>
        <v>157.12480016409424</v>
      </c>
      <c r="R18" s="59">
        <f t="shared" si="0"/>
        <v>450.45813349742753</v>
      </c>
      <c r="S18" s="59">
        <f ca="1">AVERAGE(OFFSET($R$3,0,0,'Données projet'!$E$9+1,1))-AVERAGE(OFFSET($H$3,0,0,'Données projet'!$E$9+1,1))</f>
        <v>320.29885421543776</v>
      </c>
      <c r="T18" s="59">
        <f t="shared" si="34"/>
        <v>546.34638548793396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365.85286739919712</v>
      </c>
      <c r="AN18" s="59">
        <f ca="1">AVERAGE(OFFSET($AM$3,0,0,'Données projet'!$E$10+1,1))-AVERAGE(OFFSET($H$3,0,0,'Données projet'!$E$10+1,1))</f>
        <v>150.88336605939878</v>
      </c>
      <c r="AO18" s="59">
        <f t="shared" si="36"/>
        <v>268.54782308462387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22.4</v>
      </c>
      <c r="N19" s="13">
        <f>IF('Données projet'!$A$36&gt;35,N18+M19-V18,IF(A19&lt;'Données projet'!$A$36,$K$205^A19,IF(A19='Données projet'!$A$36,'Données projet'!$B$36,N18+M19-V18)))</f>
        <v>148.4</v>
      </c>
      <c r="O19" s="13">
        <f>N19*VLOOKUP('Données projet'!$B$9,Paramètres!$A$1:$I$89,3,0)*VLOOKUP('Données projet'!$B$9,Paramètres!$A$1:$I$89,5,0)</f>
        <v>82.955600000000004</v>
      </c>
      <c r="P19" s="13">
        <f t="shared" si="33"/>
        <v>22.858310787063903</v>
      </c>
      <c r="Q19" s="20">
        <f t="shared" si="2"/>
        <v>184.29256128746965</v>
      </c>
      <c r="R19" s="59">
        <f t="shared" si="0"/>
        <v>477.62589462080297</v>
      </c>
      <c r="S19" s="59">
        <f ca="1">AVERAGE(OFFSET($R$3,0,0,'Données projet'!$E$9+1,1))-AVERAGE(OFFSET($H$3,0,0,'Données projet'!$E$9+1,1))</f>
        <v>320.29885421543776</v>
      </c>
      <c r="T19" s="59">
        <f t="shared" si="34"/>
        <v>546.34638548793396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386.92040802893126</v>
      </c>
      <c r="AN19" s="59">
        <f ca="1">AVERAGE(OFFSET($AM$3,0,0,'Données projet'!$E$10+1,1))-AVERAGE(OFFSET($H$3,0,0,'Données projet'!$E$10+1,1))</f>
        <v>150.88336605939878</v>
      </c>
      <c r="AO19" s="59">
        <f t="shared" si="36"/>
        <v>268.54782308462387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22.4</v>
      </c>
      <c r="N20" s="13">
        <f>IF('Données projet'!$A$36&gt;35,N19+M20-V19,IF(A20&lt;'Données projet'!$A$36,$K$205^A20,IF(A20='Données projet'!$A$36,'Données projet'!$B$36,N19+M20-V19)))</f>
        <v>170.8</v>
      </c>
      <c r="O20" s="13">
        <f>N20*VLOOKUP('Données projet'!$B$9,Paramètres!$A$1:$I$89,3,0)*VLOOKUP('Données projet'!$B$9,Paramètres!$A$1:$I$89,5,0)</f>
        <v>95.477200000000011</v>
      </c>
      <c r="P20" s="13">
        <f t="shared" si="33"/>
        <v>25.881617647431607</v>
      </c>
      <c r="Q20" s="20">
        <f t="shared" si="2"/>
        <v>211.36660740261004</v>
      </c>
      <c r="R20" s="59">
        <f t="shared" si="0"/>
        <v>504.69994073594336</v>
      </c>
      <c r="S20" s="59">
        <f ca="1">AVERAGE(OFFSET($R$3,0,0,'Données projet'!$E$9+1,1))-AVERAGE(OFFSET($H$3,0,0,'Données projet'!$E$9+1,1))</f>
        <v>320.29885421543776</v>
      </c>
      <c r="T20" s="59">
        <f t="shared" si="34"/>
        <v>546.34638548793396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414.12816716752388</v>
      </c>
      <c r="AN20" s="59">
        <f ca="1">AVERAGE(OFFSET($AM$3,0,0,'Données projet'!$E$10+1,1))-AVERAGE(OFFSET($H$3,0,0,'Données projet'!$E$10+1,1))</f>
        <v>150.88336605939878</v>
      </c>
      <c r="AO20" s="59">
        <f t="shared" si="36"/>
        <v>268.54782308462387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22.4</v>
      </c>
      <c r="N21" s="13">
        <f>IF('Données projet'!$A$36&gt;35,N20+M21-V20,IF(A21&lt;'Données projet'!$A$36,$K$205^A21,IF(A21='Données projet'!$A$36,'Données projet'!$B$36,N20+M21-V20)))</f>
        <v>193.20000000000002</v>
      </c>
      <c r="O21" s="13">
        <f>N21*VLOOKUP('Données projet'!$B$9,Paramètres!$A$1:$I$89,3,0)*VLOOKUP('Données projet'!$B$9,Paramètres!$A$1:$I$89,5,0)</f>
        <v>107.99880000000002</v>
      </c>
      <c r="P21" s="13">
        <f t="shared" si="33"/>
        <v>28.858983600701585</v>
      </c>
      <c r="Q21" s="20">
        <f t="shared" si="2"/>
        <v>238.36063977122194</v>
      </c>
      <c r="R21" s="59">
        <f t="shared" si="0"/>
        <v>531.6939731045552</v>
      </c>
      <c r="S21" s="59">
        <f ca="1">AVERAGE(OFFSET($R$3,0,0,'Données projet'!$E$9+1,1))-AVERAGE(OFFSET($H$3,0,0,'Données projet'!$E$9+1,1))</f>
        <v>320.29885421543776</v>
      </c>
      <c r="T21" s="59">
        <f t="shared" si="34"/>
        <v>546.34638548793396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449.27109216153792</v>
      </c>
      <c r="AN21" s="59">
        <f ca="1">AVERAGE(OFFSET($AM$3,0,0,'Données projet'!$E$10+1,1))-AVERAGE(OFFSET($H$3,0,0,'Données projet'!$E$10+1,1))</f>
        <v>150.88336605939878</v>
      </c>
      <c r="AO21" s="59">
        <f t="shared" si="36"/>
        <v>268.54782308462387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1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14.130259073130295</v>
      </c>
      <c r="AX21" s="21">
        <f t="shared" si="6"/>
        <v>14.130259073130295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22.4</v>
      </c>
      <c r="N22" s="13">
        <f>IF('Données projet'!$A$36&gt;35,N21+M22-V21,IF(A22&lt;'Données projet'!$A$36,$K$205^A22,IF(A22='Données projet'!$A$36,'Données projet'!$B$36,N21+M22-V21)))</f>
        <v>215.60000000000002</v>
      </c>
      <c r="O22" s="13">
        <f>N22*VLOOKUP('Données projet'!$B$9,Paramètres!$A$1:$I$89,3,0)*VLOOKUP('Données projet'!$B$9,Paramètres!$A$1:$I$89,5,0)</f>
        <v>120.52040000000002</v>
      </c>
      <c r="P22" s="13">
        <f t="shared" si="33"/>
        <v>31.796343463250214</v>
      </c>
      <c r="Q22" s="20">
        <f t="shared" si="2"/>
        <v>265.2849948651608</v>
      </c>
      <c r="R22" s="59">
        <f t="shared" si="0"/>
        <v>558.61832819849405</v>
      </c>
      <c r="S22" s="59">
        <f ca="1">AVERAGE(OFFSET($R$3,0,0,'Données projet'!$E$9+1,1))-AVERAGE(OFFSET($H$3,0,0,'Données projet'!$E$9+1,1))</f>
        <v>320.29885421543776</v>
      </c>
      <c r="T22" s="59">
        <f t="shared" si="34"/>
        <v>546.34638548793396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446.55704519948165</v>
      </c>
      <c r="AN22" s="59">
        <f ca="1">AVERAGE(OFFSET($AM$3,0,0,'Données projet'!$E$10+1,1))-AVERAGE(OFFSET($H$3,0,0,'Données projet'!$E$10+1,1))</f>
        <v>150.88336605939878</v>
      </c>
      <c r="AO22" s="59">
        <f t="shared" si="36"/>
        <v>268.54782308462387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9.9916020105331729</v>
      </c>
      <c r="AX22" s="21">
        <f t="shared" si="6"/>
        <v>9.9916020105331729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238</v>
      </c>
      <c r="L23" s="12">
        <f>VLOOKUP(A23,'Données projet'!$A$35:$I$55,9,0)</f>
        <v>22.4</v>
      </c>
      <c r="M23" s="12">
        <f t="array" ref="M23">INDEX(L:L,MIN(IF(ISNUMBER(L23:L219),ROW(L23:L219),"")))</f>
        <v>22.4</v>
      </c>
      <c r="N23" s="13">
        <f>IF('Données projet'!$A$36&gt;35,N22+M23-V22,IF(A23&lt;'Données projet'!$A$36,$K$205^A23,IF(A23='Données projet'!$A$36,'Données projet'!$B$36,N22+M23-V22)))</f>
        <v>238.00000000000003</v>
      </c>
      <c r="O23" s="13">
        <f>N23*VLOOKUP('Données projet'!$B$9,Paramètres!$A$1:$I$89,3,0)*VLOOKUP('Données projet'!$B$9,Paramètres!$A$1:$I$89,5,0)</f>
        <v>133.04200000000003</v>
      </c>
      <c r="P23" s="13">
        <f t="shared" si="33"/>
        <v>34.69832716285007</v>
      </c>
      <c r="Q23" s="20">
        <f t="shared" si="2"/>
        <v>292.14773647529722</v>
      </c>
      <c r="R23" s="59">
        <f t="shared" si="0"/>
        <v>585.48106980863054</v>
      </c>
      <c r="S23" s="59">
        <f ca="1">AVERAGE(OFFSET($R$3,0,0,'Données projet'!$E$9+1,1))-AVERAGE(OFFSET($H$3,0,0,'Données projet'!$E$9+1,1))</f>
        <v>320.29885421543776</v>
      </c>
      <c r="T23" s="59">
        <f t="shared" si="34"/>
        <v>546.34638548793396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470.94481558627825</v>
      </c>
      <c r="AN23" s="59">
        <f ca="1">AVERAGE(OFFSET($AM$3,0,0,'Données projet'!$E$10+1,1))-AVERAGE(OFFSET($H$3,0,0,'Données projet'!$E$10+1,1))</f>
        <v>150.88336605939878</v>
      </c>
      <c r="AO23" s="59">
        <f t="shared" si="36"/>
        <v>268.54782308462387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7.0651295365651494</v>
      </c>
      <c r="AX23" s="21">
        <f t="shared" si="6"/>
        <v>7.0651295365651494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14.8</v>
      </c>
      <c r="N24" s="13">
        <f>IF('Données projet'!$A$36&gt;35,N23+M24-V23,IF(A24&lt;'Données projet'!$A$36,$K$205^A24,IF(A24='Données projet'!$A$36,'Données projet'!$B$36,N23+M24-V23)))</f>
        <v>252.80000000000004</v>
      </c>
      <c r="O24" s="13">
        <f>N24*VLOOKUP('Données projet'!$B$9,Paramètres!$A$1:$I$89,3,0)*VLOOKUP('Données projet'!$B$9,Paramètres!$A$1:$I$89,5,0)</f>
        <v>141.31520000000003</v>
      </c>
      <c r="P24" s="13">
        <f t="shared" si="33"/>
        <v>36.598135187768101</v>
      </c>
      <c r="Q24" s="20">
        <f t="shared" si="2"/>
        <v>309.86572545202949</v>
      </c>
      <c r="R24" s="59">
        <f t="shared" si="0"/>
        <v>603.19905878536281</v>
      </c>
      <c r="S24" s="59">
        <f ca="1">AVERAGE(OFFSET($R$3,0,0,'Données projet'!$E$9+1,1))-AVERAGE(OFFSET($H$3,0,0,'Données projet'!$E$9+1,1))</f>
        <v>320.29885421543776</v>
      </c>
      <c r="T24" s="59">
        <f t="shared" si="34"/>
        <v>546.34638548793396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495.25397035669954</v>
      </c>
      <c r="AN24" s="59">
        <f ca="1">AVERAGE(OFFSET($AM$3,0,0,'Données projet'!$E$10+1,1))-AVERAGE(OFFSET($H$3,0,0,'Données projet'!$E$10+1,1))</f>
        <v>150.88336605939878</v>
      </c>
      <c r="AO24" s="59">
        <f t="shared" si="36"/>
        <v>268.54782308462387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1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23.365137800335972</v>
      </c>
      <c r="AX24" s="21">
        <f t="shared" si="6"/>
        <v>23.365137800335972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14.8</v>
      </c>
      <c r="N25" s="13">
        <f>IF('Données projet'!$A$36&gt;35,N24+M25-V24,IF(A25&lt;'Données projet'!$A$36,$K$205^A25,IF(A25='Données projet'!$A$36,'Données projet'!$B$36,N24+M25-V24)))</f>
        <v>267.60000000000002</v>
      </c>
      <c r="O25" s="13">
        <f>N25*VLOOKUP('Données projet'!$B$9,Paramètres!$A$1:$I$89,3,0)*VLOOKUP('Données projet'!$B$9,Paramètres!$A$1:$I$89,5,0)</f>
        <v>149.58840000000001</v>
      </c>
      <c r="P25" s="13">
        <f t="shared" si="33"/>
        <v>38.485033090581311</v>
      </c>
      <c r="Q25" s="20">
        <f t="shared" si="2"/>
        <v>327.56122929942916</v>
      </c>
      <c r="R25" s="59">
        <f t="shared" si="0"/>
        <v>620.89456263276247</v>
      </c>
      <c r="S25" s="59">
        <f ca="1">AVERAGE(OFFSET($R$3,0,0,'Données projet'!$E$9+1,1))-AVERAGE(OFFSET($H$3,0,0,'Données projet'!$E$9+1,1))</f>
        <v>320.29885421543776</v>
      </c>
      <c r="T25" s="59">
        <f t="shared" si="34"/>
        <v>546.34638548793396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481.75787787696777</v>
      </c>
      <c r="AN25" s="59">
        <f ca="1">AVERAGE(OFFSET($AM$3,0,0,'Données projet'!$E$10+1,1))-AVERAGE(OFFSET($H$3,0,0,'Données projet'!$E$10+1,1))</f>
        <v>150.88336605939878</v>
      </c>
      <c r="AO25" s="59">
        <f t="shared" si="36"/>
        <v>268.54782308462387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16.521647381975701</v>
      </c>
      <c r="AX25" s="21">
        <f t="shared" si="6"/>
        <v>16.521647381975701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14.8</v>
      </c>
      <c r="N26" s="13">
        <f>IF('Données projet'!$A$36&gt;35,N25+M26-V25,IF(A26&lt;'Données projet'!$A$36,$K$205^A26,IF(A26='Données projet'!$A$36,'Données projet'!$B$36,N25+M26-V25)))</f>
        <v>282.40000000000003</v>
      </c>
      <c r="O26" s="13">
        <f>N26*VLOOKUP('Données projet'!$B$9,Paramètres!$A$1:$I$89,3,0)*VLOOKUP('Données projet'!$B$9,Paramètres!$A$1:$I$89,5,0)</f>
        <v>157.86160000000004</v>
      </c>
      <c r="P26" s="13">
        <f t="shared" si="33"/>
        <v>40.359816267606377</v>
      </c>
      <c r="Q26" s="20">
        <f t="shared" si="2"/>
        <v>345.2356333327478</v>
      </c>
      <c r="R26" s="59">
        <f t="shared" si="0"/>
        <v>638.56896666608111</v>
      </c>
      <c r="S26" s="59">
        <f ca="1">AVERAGE(OFFSET($R$3,0,0,'Données projet'!$E$9+1,1))-AVERAGE(OFFSET($H$3,0,0,'Données projet'!$E$9+1,1))</f>
        <v>320.29885421543776</v>
      </c>
      <c r="T26" s="59">
        <f t="shared" si="34"/>
        <v>546.34638548793396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503.34150013462738</v>
      </c>
      <c r="AN26" s="59">
        <f ca="1">AVERAGE(OFFSET($AM$3,0,0,'Données projet'!$E$10+1,1))-AVERAGE(OFFSET($H$3,0,0,'Données projet'!$E$10+1,1))</f>
        <v>150.88336605939878</v>
      </c>
      <c r="AO26" s="59">
        <f t="shared" si="36"/>
        <v>268.54782308462387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11.682568900167988</v>
      </c>
      <c r="AX26" s="21">
        <f t="shared" si="6"/>
        <v>11.682568900167988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14.8</v>
      </c>
      <c r="N27" s="13">
        <f>IF('Données projet'!$A$36&gt;35,N26+M27-V26,IF(A27&lt;'Données projet'!$A$36,$K$205^A27,IF(A27='Données projet'!$A$36,'Données projet'!$B$36,N26+M27-V26)))</f>
        <v>297.20000000000005</v>
      </c>
      <c r="O27" s="13">
        <f>N27*VLOOKUP('Données projet'!$B$9,Paramètres!$A$1:$I$89,3,0)*VLOOKUP('Données projet'!$B$9,Paramètres!$A$1:$I$89,5,0)</f>
        <v>166.13480000000004</v>
      </c>
      <c r="P27" s="13">
        <f t="shared" si="33"/>
        <v>42.223192036241997</v>
      </c>
      <c r="Q27" s="20">
        <f t="shared" si="2"/>
        <v>362.89016946312154</v>
      </c>
      <c r="R27" s="59">
        <f t="shared" si="0"/>
        <v>656.2235027964548</v>
      </c>
      <c r="S27" s="59">
        <f ca="1">AVERAGE(OFFSET($R$3,0,0,'Données projet'!$E$9+1,1))-AVERAGE(OFFSET($H$3,0,0,'Données projet'!$E$9+1,1))</f>
        <v>320.29885421543776</v>
      </c>
      <c r="T27" s="59">
        <f t="shared" si="34"/>
        <v>546.34638548793396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524.87393869639823</v>
      </c>
      <c r="AN27" s="59">
        <f ca="1">AVERAGE(OFFSET($AM$3,0,0,'Données projet'!$E$10+1,1))-AVERAGE(OFFSET($H$3,0,0,'Données projet'!$E$10+1,1))</f>
        <v>150.88336605939878</v>
      </c>
      <c r="AO27" s="59">
        <f t="shared" si="36"/>
        <v>268.54782308462387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1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28.74969934702678</v>
      </c>
      <c r="AX27" s="21">
        <f t="shared" si="6"/>
        <v>28.74969934702678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312</v>
      </c>
      <c r="L28" s="12">
        <f>VLOOKUP(A28,'Données projet'!$A$35:$I$55,9,0)</f>
        <v>14.8</v>
      </c>
      <c r="M28" s="12">
        <f t="array" ref="M28">INDEX(L:L,MIN(IF(ISNUMBER(L28:L224),ROW(L28:L224),"")))</f>
        <v>14.8</v>
      </c>
      <c r="N28" s="13">
        <f>IF('Données projet'!$A$36&gt;35,N27+M28-V27,IF(A28&lt;'Données projet'!$A$36,$K$205^A28,IF(A28='Données projet'!$A$36,'Données projet'!$B$36,N27+M28-V27)))</f>
        <v>312.00000000000006</v>
      </c>
      <c r="O28" s="13">
        <f>N28*VLOOKUP('Données projet'!$B$9,Paramètres!$A$1:$I$89,3,0)*VLOOKUP('Données projet'!$B$9,Paramètres!$A$1:$I$89,5,0)</f>
        <v>174.40800000000004</v>
      </c>
      <c r="P28" s="13">
        <f t="shared" si="33"/>
        <v>44.075793288194824</v>
      </c>
      <c r="Q28" s="20">
        <f t="shared" si="2"/>
        <v>380.52593997693936</v>
      </c>
      <c r="R28" s="59">
        <f t="shared" si="0"/>
        <v>673.85927331027267</v>
      </c>
      <c r="S28" s="59">
        <f ca="1">AVERAGE(OFFSET($R$3,0,0,'Données projet'!$E$9+1,1))-AVERAGE(OFFSET($H$3,0,0,'Données projet'!$E$9+1,1))</f>
        <v>320.29885421543776</v>
      </c>
      <c r="T28" s="59">
        <f t="shared" si="34"/>
        <v>546.34638548793396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21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0.27500000000000002</v>
      </c>
      <c r="Y28" s="16">
        <f>IF(ISNA(VLOOKUP(A28,'Données projet'!$A$35:$I$55,7,0)),0%,VLOOKUP(A28,'Données projet'!$A$35:$I$55,7,0))</f>
        <v>0.5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4.2655869075218122</v>
      </c>
      <c r="AB28" s="21">
        <f>EXP(-LN(2)/2)*AB27+(1-EXP(-LN(2)/2))/(LN(2)/2)*V28*Y28*VLOOKUP('Données projet'!$B$9,Paramètres!$A$1:$I$89,3,0)*0.475*44/12</f>
        <v>6.6456374703315921</v>
      </c>
      <c r="AC28" s="22">
        <f t="shared" si="3"/>
        <v>10.911224377853404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504.91323126230861</v>
      </c>
      <c r="AN28" s="59">
        <f ca="1">AVERAGE(OFFSET($AM$3,0,0,'Données projet'!$E$10+1,1))-AVERAGE(OFFSET($H$3,0,0,'Données projet'!$E$10+1,1))</f>
        <v>150.88336605939878</v>
      </c>
      <c r="AO28" s="59">
        <f t="shared" si="36"/>
        <v>268.54782308462387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20.329107365357096</v>
      </c>
      <c r="AX28" s="21">
        <f t="shared" si="6"/>
        <v>20.329107365357096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38.6</v>
      </c>
      <c r="N29" s="13">
        <f>IF('Données projet'!$A$36&gt;35,N28+M29-V28,IF(A29&lt;'Données projet'!$A$36,$K$205^A29,IF(A29='Données projet'!$A$36,'Données projet'!$B$36,N28+M29-V28)))</f>
        <v>329.60000000000008</v>
      </c>
      <c r="O29" s="13">
        <f>N29*VLOOKUP('Données projet'!$B$9,Paramètres!$A$1:$I$89,3,0)*VLOOKUP('Données projet'!$B$9,Paramètres!$A$1:$I$89,5,0)</f>
        <v>184.24640000000005</v>
      </c>
      <c r="P29" s="13">
        <f t="shared" si="33"/>
        <v>46.265646040376481</v>
      </c>
      <c r="Q29" s="20">
        <f t="shared" si="2"/>
        <v>401.47514685365581</v>
      </c>
      <c r="R29" s="59">
        <f t="shared" si="0"/>
        <v>694.80848018698907</v>
      </c>
      <c r="S29" s="59">
        <f ca="1">AVERAGE(OFFSET($R$3,0,0,'Données projet'!$E$9+1,1))-AVERAGE(OFFSET($H$3,0,0,'Données projet'!$E$9+1,1))</f>
        <v>320.29885421543776</v>
      </c>
      <c r="T29" s="59">
        <f t="shared" si="34"/>
        <v>546.34638548793396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4.1489442092181621</v>
      </c>
      <c r="AB29" s="21">
        <f>EXP(-LN(2)/2)*AB28+(1-EXP(-LN(2)/2))/(LN(2)/2)*V29*Y29*VLOOKUP('Données projet'!$B$9,Paramètres!$A$1:$I$89,3,0)*0.475*44/12</f>
        <v>4.6991753205788829</v>
      </c>
      <c r="AC29" s="22">
        <f t="shared" si="3"/>
        <v>8.8481195297970459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523.9777010935361</v>
      </c>
      <c r="AN29" s="59">
        <f ca="1">AVERAGE(OFFSET($AM$3,0,0,'Données projet'!$E$10+1,1))-AVERAGE(OFFSET($H$3,0,0,'Données projet'!$E$10+1,1))</f>
        <v>150.88336605939878</v>
      </c>
      <c r="AO29" s="59">
        <f t="shared" si="36"/>
        <v>268.54782308462387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14.374849673513394</v>
      </c>
      <c r="AX29" s="21">
        <f t="shared" si="6"/>
        <v>14.374849673513394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38.6</v>
      </c>
      <c r="N30" s="13">
        <f>IF('Données projet'!$A$36&gt;35,N29+M30-V29,IF(A30&lt;'Données projet'!$A$36,$K$205^A30,IF(A30='Données projet'!$A$36,'Données projet'!$B$36,N29+M30-V29)))</f>
        <v>368.2000000000001</v>
      </c>
      <c r="O30" s="13">
        <f>N30*VLOOKUP('Données projet'!$B$9,Paramètres!$A$1:$I$89,3,0)*VLOOKUP('Données projet'!$B$9,Paramètres!$A$1:$I$89,5,0)</f>
        <v>205.82380000000006</v>
      </c>
      <c r="P30" s="13">
        <f t="shared" si="33"/>
        <v>51.02191677415756</v>
      </c>
      <c r="Q30" s="20">
        <f t="shared" si="2"/>
        <v>447.33962338165787</v>
      </c>
      <c r="R30" s="59">
        <f t="shared" si="0"/>
        <v>740.67295671499119</v>
      </c>
      <c r="S30" s="59">
        <f ca="1">AVERAGE(OFFSET($R$3,0,0,'Données projet'!$E$9+1,1))-AVERAGE(OFFSET($H$3,0,0,'Données projet'!$E$9+1,1))</f>
        <v>320.29885421543776</v>
      </c>
      <c r="T30" s="59">
        <f t="shared" si="34"/>
        <v>546.34638548793396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4.0354911116335979</v>
      </c>
      <c r="AB30" s="21">
        <f>EXP(-LN(2)/2)*AB29+(1-EXP(-LN(2)/2))/(LN(2)/2)*V30*Y30*VLOOKUP('Données projet'!$B$9,Paramètres!$A$1:$I$89,3,0)*0.475*44/12</f>
        <v>3.3228187351657965</v>
      </c>
      <c r="AC30" s="22">
        <f t="shared" si="3"/>
        <v>7.3583098467993944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543.00615511871865</v>
      </c>
      <c r="AN30" s="59">
        <f ca="1">AVERAGE(OFFSET($AM$3,0,0,'Données projet'!$E$10+1,1))-AVERAGE(OFFSET($H$3,0,0,'Données projet'!$E$10+1,1))</f>
        <v>150.88336605939878</v>
      </c>
      <c r="AO30" s="59">
        <f t="shared" si="36"/>
        <v>268.54782308462387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10.16455368267855</v>
      </c>
      <c r="AX30" s="21">
        <f t="shared" si="6"/>
        <v>10.16455368267855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38.6</v>
      </c>
      <c r="N31" s="13">
        <f>IF('Données projet'!$A$36&gt;35,N30+M31-V30,IF(A31&lt;'Données projet'!$A$36,$K$205^A31,IF(A31='Données projet'!$A$36,'Données projet'!$B$36,N30+M31-V30)))</f>
        <v>406.80000000000013</v>
      </c>
      <c r="O31" s="13">
        <f>N31*VLOOKUP('Données projet'!$B$9,Paramètres!$A$1:$I$89,3,0)*VLOOKUP('Données projet'!$B$9,Paramètres!$A$1:$I$89,5,0)</f>
        <v>227.4012000000001</v>
      </c>
      <c r="P31" s="13">
        <f t="shared" si="33"/>
        <v>55.720389123323166</v>
      </c>
      <c r="Q31" s="20">
        <f t="shared" si="2"/>
        <v>493.10343438978794</v>
      </c>
      <c r="R31" s="59">
        <f t="shared" si="0"/>
        <v>786.43676772312119</v>
      </c>
      <c r="S31" s="59">
        <f ca="1">AVERAGE(OFFSET($R$3,0,0,'Données projet'!$E$9+1,1))-AVERAGE(OFFSET($H$3,0,0,'Données projet'!$E$9+1,1))</f>
        <v>320.29885421543776</v>
      </c>
      <c r="T31" s="59">
        <f t="shared" si="34"/>
        <v>546.34638548793396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3.9251403949687229</v>
      </c>
      <c r="AB31" s="21">
        <f>EXP(-LN(2)/2)*AB30+(1-EXP(-LN(2)/2))/(LN(2)/2)*V31*Y31*VLOOKUP('Données projet'!$B$9,Paramètres!$A$1:$I$89,3,0)*0.475*44/12</f>
        <v>2.3495876602894414</v>
      </c>
      <c r="AC31" s="22">
        <f t="shared" si="3"/>
        <v>6.2747280552581639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562.00172410321466</v>
      </c>
      <c r="AN31" s="59">
        <f ca="1">AVERAGE(OFFSET($AM$3,0,0,'Données projet'!$E$10+1,1))-AVERAGE(OFFSET($H$3,0,0,'Données projet'!$E$10+1,1))</f>
        <v>150.88336605939878</v>
      </c>
      <c r="AO31" s="59">
        <f t="shared" si="36"/>
        <v>268.54782308462387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7.1874248367566977</v>
      </c>
      <c r="AX31" s="21">
        <f t="shared" si="6"/>
        <v>7.1874248367566977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38.6</v>
      </c>
      <c r="N32" s="13">
        <f>IF('Données projet'!$A$36&gt;35,N31+M32-V31,IF(A32&lt;'Données projet'!$A$36,$K$205^A32,IF(A32='Données projet'!$A$36,'Données projet'!$B$36,N31+M32-V31)))</f>
        <v>445.40000000000015</v>
      </c>
      <c r="O32" s="13">
        <f>N32*VLOOKUP('Données projet'!$B$9,Paramètres!$A$1:$I$89,3,0)*VLOOKUP('Données projet'!$B$9,Paramètres!$A$1:$I$89,5,0)</f>
        <v>248.97860000000006</v>
      </c>
      <c r="P32" s="13">
        <f t="shared" si="33"/>
        <v>60.367171328785723</v>
      </c>
      <c r="Q32" s="20">
        <f t="shared" si="2"/>
        <v>538.77721839763512</v>
      </c>
      <c r="R32" s="59">
        <f t="shared" si="0"/>
        <v>832.11055173096838</v>
      </c>
      <c r="S32" s="59">
        <f ca="1">AVERAGE(OFFSET($R$3,0,0,'Données projet'!$E$9+1,1))-AVERAGE(OFFSET($H$3,0,0,'Données projet'!$E$9+1,1))</f>
        <v>320.29885421543776</v>
      </c>
      <c r="T32" s="59">
        <f t="shared" si="34"/>
        <v>546.34638548793396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3.8178072244541408</v>
      </c>
      <c r="AB32" s="21">
        <f>EXP(-LN(2)/2)*AB31+(1-EXP(-LN(2)/2))/(LN(2)/2)*V32*Y32*VLOOKUP('Données projet'!$B$9,Paramètres!$A$1:$I$89,3,0)*0.475*44/12</f>
        <v>1.6614093675828983</v>
      </c>
      <c r="AC32" s="22">
        <f t="shared" si="3"/>
        <v>5.479216592037039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580.96705976590965</v>
      </c>
      <c r="AN32" s="59">
        <f ca="1">AVERAGE(OFFSET($AM$3,0,0,'Données projet'!$E$10+1,1))-AVERAGE(OFFSET($H$3,0,0,'Données projet'!$E$10+1,1))</f>
        <v>150.88336605939878</v>
      </c>
      <c r="AO32" s="59">
        <f t="shared" si="36"/>
        <v>268.54782308462387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5.0822768413392758</v>
      </c>
      <c r="AX32" s="21">
        <f t="shared" si="6"/>
        <v>5.0822768413392758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484</v>
      </c>
      <c r="L33" s="12">
        <f>VLOOKUP(A33,'Données projet'!$A$35:$I$55,9,0)</f>
        <v>38.6</v>
      </c>
      <c r="M33" s="12">
        <f t="array" ref="M33">INDEX(L:L,MIN(IF(ISNUMBER(L33:L229),ROW(L33:L229),"")))</f>
        <v>38.6</v>
      </c>
      <c r="N33" s="13">
        <f>IF('Données projet'!$A$36&gt;35,N32+M33-V32,IF(A33&lt;'Données projet'!$A$36,$K$205^A33,IF(A33='Données projet'!$A$36,'Données projet'!$B$36,N32+M33-V32)))</f>
        <v>484.00000000000017</v>
      </c>
      <c r="O33" s="13">
        <f>N33*VLOOKUP('Données projet'!$B$9,Paramètres!$A$1:$I$89,3,0)*VLOOKUP('Données projet'!$B$9,Paramètres!$A$1:$I$89,5,0)</f>
        <v>270.5560000000001</v>
      </c>
      <c r="P33" s="13">
        <f t="shared" si="33"/>
        <v>64.967252389325282</v>
      </c>
      <c r="Q33" s="20">
        <f t="shared" si="2"/>
        <v>584.369664578075</v>
      </c>
      <c r="R33" s="59">
        <f t="shared" si="0"/>
        <v>877.70299791140837</v>
      </c>
      <c r="S33" s="59">
        <f ca="1">AVERAGE(OFFSET($R$3,0,0,'Données projet'!$E$9+1,1))-AVERAGE(OFFSET($H$3,0,0,'Données projet'!$E$9+1,1))</f>
        <v>320.29885421543776</v>
      </c>
      <c r="T33" s="59">
        <f t="shared" si="34"/>
        <v>546.34638548793396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48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0.27500000000000002</v>
      </c>
      <c r="Y33" s="16">
        <f>IF(ISNA(VLOOKUP(A33,'Données projet'!$A$35:$I$55,7,0)),0%,VLOOKUP(A33,'Données projet'!$A$35:$I$55,7,0))</f>
        <v>0.5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13.463322016610114</v>
      </c>
      <c r="AB33" s="21">
        <f>EXP(-LN(2)/2)*AB32+(1-EXP(-LN(2)/2))/(LN(2)/2)*V33*Y33*VLOOKUP('Données projet'!$B$9,Paramètres!$A$1:$I$89,3,0)*0.475*44/12</f>
        <v>16.364822333759783</v>
      </c>
      <c r="AC33" s="22">
        <f t="shared" si="3"/>
        <v>29.828144350369897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150.88336605939878</v>
      </c>
      <c r="AO33" s="59">
        <f t="shared" si="36"/>
        <v>268.54782308462387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0.06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0.9</v>
      </c>
      <c r="AU33" s="21">
        <f>EXP(-LN(2)/35)*AU32+(1-EXP(-LN(2)/35))/(LN(2)/35)*AQ33*AR33*VLOOKUP('Données projet'!$B$10,Paramètres!$A$1:$I$89,3,0)*0.475*44/12</f>
        <v>2.6323283802177886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37.2943803077941</v>
      </c>
      <c r="AX33" s="21">
        <f t="shared" si="6"/>
        <v>39.926708688011885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24.6</v>
      </c>
      <c r="N34" s="13">
        <f>IF('Données projet'!$A$36&gt;35,N33+M34-V33,IF(A34&lt;'Données projet'!$A$36,$K$205^A34,IF(A34='Données projet'!$A$36,'Données projet'!$B$36,N33+M34-V33)))</f>
        <v>460.60000000000019</v>
      </c>
      <c r="O34" s="13">
        <f>N34*VLOOKUP('Données projet'!$B$9,Paramètres!$A$1:$I$89,3,0)*VLOOKUP('Données projet'!$B$9,Paramètres!$A$1:$I$89,5,0)</f>
        <v>257.47540000000009</v>
      </c>
      <c r="P34" s="13">
        <f t="shared" si="33"/>
        <v>62.183930036702655</v>
      </c>
      <c r="Q34" s="20">
        <f t="shared" si="2"/>
        <v>556.73999981392387</v>
      </c>
      <c r="R34" s="59">
        <f t="shared" si="0"/>
        <v>850.07333314725724</v>
      </c>
      <c r="S34" s="59">
        <f ca="1">AVERAGE(OFFSET($R$3,0,0,'Données projet'!$E$9+1,1))-AVERAGE(OFFSET($H$3,0,0,'Données projet'!$E$9+1,1))</f>
        <v>320.29885421543776</v>
      </c>
      <c r="T34" s="59">
        <f t="shared" si="34"/>
        <v>546.34638548793396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13.095166768060576</v>
      </c>
      <c r="AB34" s="21">
        <f>EXP(-LN(2)/2)*AB33+(1-EXP(-LN(2)/2))/(LN(2)/2)*V34*Y34*VLOOKUP('Données projet'!$B$9,Paramètres!$A$1:$I$89,3,0)*0.475*44/12</f>
        <v>11.571676845114606</v>
      </c>
      <c r="AC34" s="22">
        <f t="shared" si="3"/>
        <v>24.666843613175182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150.88336605939878</v>
      </c>
      <c r="AO34" s="59">
        <f t="shared" si="36"/>
        <v>268.54782308462387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2.5807100262434934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26.37110921579125</v>
      </c>
      <c r="AX34" s="21">
        <f t="shared" si="6"/>
        <v>28.951819242034745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24.6</v>
      </c>
      <c r="N35" s="13">
        <f>IF('Données projet'!$A$36&gt;35,N34+M35-V34,IF(A35&lt;'Données projet'!$A$36,$K$205^A35,IF(A35='Données projet'!$A$36,'Données projet'!$B$36,N34+M35-V34)))</f>
        <v>485.20000000000022</v>
      </c>
      <c r="O35" s="13">
        <f>N35*VLOOKUP('Données projet'!$B$9,Paramètres!$A$1:$I$89,3,0)*VLOOKUP('Données projet'!$B$9,Paramètres!$A$1:$I$89,5,0)</f>
        <v>271.22680000000014</v>
      </c>
      <c r="P35" s="13">
        <f t="shared" si="33"/>
        <v>65.109558476355161</v>
      </c>
      <c r="Q35" s="20">
        <f t="shared" ref="Q35:Q66" si="53">(O35+P35)*0.475*44/12</f>
        <v>585.7858243463188</v>
      </c>
      <c r="R35" s="59">
        <f t="shared" si="0"/>
        <v>879.11915767965206</v>
      </c>
      <c r="S35" s="59">
        <f ca="1">AVERAGE(OFFSET($R$3,0,0,'Données projet'!$E$9+1,1))-AVERAGE(OFFSET($H$3,0,0,'Données projet'!$E$9+1,1))</f>
        <v>320.29885421543776</v>
      </c>
      <c r="T35" s="59">
        <f t="shared" si="34"/>
        <v>546.34638548793396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12.737078744143069</v>
      </c>
      <c r="AB35" s="21">
        <f>EXP(-LN(2)/2)*AB34+(1-EXP(-LN(2)/2))/(LN(2)/2)*V35*Y35*VLOOKUP('Données projet'!$B$9,Paramètres!$A$1:$I$89,3,0)*0.475*44/12</f>
        <v>8.1824111668798931</v>
      </c>
      <c r="AC35" s="22">
        <f t="shared" si="3"/>
        <v>20.919489911022964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150.88336605939878</v>
      </c>
      <c r="AO35" s="59">
        <f t="shared" si="36"/>
        <v>268.54782308462387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2.5301038767065474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18.647190153897053</v>
      </c>
      <c r="AX35" s="21">
        <f t="shared" si="6"/>
        <v>21.177294030603601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24.6</v>
      </c>
      <c r="N36" s="13">
        <f>IF('Données projet'!$A$36&gt;35,N35+M36-V35,IF(A36&lt;'Données projet'!$A$36,$K$205^A36,IF(A36='Données projet'!$A$36,'Données projet'!$B$36,N35+M36-V35)))</f>
        <v>509.80000000000024</v>
      </c>
      <c r="O36" s="13">
        <f>N36*VLOOKUP('Données projet'!$B$9,Paramètres!$A$1:$I$89,3,0)*VLOOKUP('Données projet'!$B$9,Paramètres!$A$1:$I$89,5,0)</f>
        <v>284.97820000000013</v>
      </c>
      <c r="P36" s="13">
        <f t="shared" si="33"/>
        <v>68.017964183169582</v>
      </c>
      <c r="Q36" s="20">
        <f t="shared" si="53"/>
        <v>614.8016526190205</v>
      </c>
      <c r="R36" s="59">
        <f t="shared" si="0"/>
        <v>908.13498595235387</v>
      </c>
      <c r="S36" s="59">
        <f ca="1">AVERAGE(OFFSET($R$3,0,0,'Données projet'!$E$9+1,1))-AVERAGE(OFFSET($H$3,0,0,'Données projet'!$E$9+1,1))</f>
        <v>320.29885421543776</v>
      </c>
      <c r="T36" s="59">
        <f t="shared" si="34"/>
        <v>546.34638548793396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12.388782656070617</v>
      </c>
      <c r="AB36" s="21">
        <f>EXP(-LN(2)/2)*AB35+(1-EXP(-LN(2)/2))/(LN(2)/2)*V36*Y36*VLOOKUP('Données projet'!$B$9,Paramètres!$A$1:$I$89,3,0)*0.475*44/12</f>
        <v>5.7858384225573039</v>
      </c>
      <c r="AC36" s="22">
        <f t="shared" si="3"/>
        <v>18.174621078627922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150.88336605939878</v>
      </c>
      <c r="AO36" s="59">
        <f t="shared" si="36"/>
        <v>268.54782308462387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2.4804900828953174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13.185554607895629</v>
      </c>
      <c r="AX36" s="21">
        <f t="shared" si="6"/>
        <v>15.666044690790946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24.6</v>
      </c>
      <c r="N37" s="13">
        <f>IF('Données projet'!$A$36&gt;35,N36+M37-V36,IF(A37&lt;'Données projet'!$A$36,$K$205^A37,IF(A37='Données projet'!$A$36,'Données projet'!$B$36,N36+M37-V36)))</f>
        <v>534.4000000000002</v>
      </c>
      <c r="O37" s="13">
        <f>N37*VLOOKUP('Données projet'!$B$9,Paramètres!$A$1:$I$89,3,0)*VLOOKUP('Données projet'!$B$9,Paramètres!$A$1:$I$89,5,0)</f>
        <v>298.72960000000012</v>
      </c>
      <c r="P37" s="13">
        <f t="shared" si="33"/>
        <v>70.910073097686976</v>
      </c>
      <c r="Q37" s="20">
        <f t="shared" si="53"/>
        <v>643.78909731180499</v>
      </c>
      <c r="R37" s="59">
        <f t="shared" si="0"/>
        <v>937.12243064513837</v>
      </c>
      <c r="S37" s="59">
        <f ca="1">AVERAGE(OFFSET($R$3,0,0,'Données projet'!$E$9+1,1))-AVERAGE(OFFSET($H$3,0,0,'Données projet'!$E$9+1,1))</f>
        <v>320.29885421543776</v>
      </c>
      <c r="T37" s="59">
        <f t="shared" si="34"/>
        <v>546.34638548793396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12.050010742842602</v>
      </c>
      <c r="AB37" s="21">
        <f>EXP(-LN(2)/2)*AB36+(1-EXP(-LN(2)/2))/(LN(2)/2)*V37*Y37*VLOOKUP('Données projet'!$B$9,Paramètres!$A$1:$I$89,3,0)*0.475*44/12</f>
        <v>4.0912055834399474</v>
      </c>
      <c r="AC37" s="22">
        <f t="shared" si="3"/>
        <v>16.141216326282549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150.88336605939878</v>
      </c>
      <c r="AO37" s="59">
        <f t="shared" si="36"/>
        <v>268.54782308462387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2.4318491853192996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9.3235950769485285</v>
      </c>
      <c r="AX37" s="21">
        <f t="shared" si="6"/>
        <v>11.755444262267828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559</v>
      </c>
      <c r="L38" s="12">
        <f>VLOOKUP(A38,'Données projet'!$A$35:$I$55,9,0)</f>
        <v>24.6</v>
      </c>
      <c r="M38" s="12">
        <f t="array" ref="M38">INDEX(L:L,MIN(IF(ISNUMBER(L38:L234),ROW(L38:L234),"")))</f>
        <v>24.6</v>
      </c>
      <c r="N38" s="13">
        <f>IF('Données projet'!$A$36&gt;35,N37+M38-V37,IF(A38&lt;'Données projet'!$A$36,$K$205^A38,IF(A38='Données projet'!$A$36,'Données projet'!$B$36,N37+M38-V37)))</f>
        <v>559.00000000000023</v>
      </c>
      <c r="O38" s="13">
        <f>N38*VLOOKUP('Données projet'!$B$9,Paramètres!$A$1:$I$89,3,0)*VLOOKUP('Données projet'!$B$9,Paramètres!$A$1:$I$89,5,0)</f>
        <v>312.48100000000011</v>
      </c>
      <c r="P38" s="13">
        <f t="shared" si="33"/>
        <v>73.786721094721486</v>
      </c>
      <c r="Q38" s="20">
        <f t="shared" si="53"/>
        <v>672.74961423997343</v>
      </c>
      <c r="R38" s="59">
        <f t="shared" si="0"/>
        <v>966.08294757330668</v>
      </c>
      <c r="S38" s="59">
        <f ca="1">AVERAGE(OFFSET($R$3,0,0,'Données projet'!$E$9+1,1))-AVERAGE(OFFSET($H$3,0,0,'Données projet'!$E$9+1,1))</f>
        <v>320.29885421543776</v>
      </c>
      <c r="T38" s="59">
        <f t="shared" si="34"/>
        <v>546.34638548793396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61</v>
      </c>
      <c r="W38" s="16">
        <f>IF(ISNA(VLOOKUP(A38,'Données projet'!$A$35:$I$55,5,0)),0%,VLOOKUP(A38,'Données projet'!$A$35:$I$55,5,0)*VLOOKUP('Données projet'!$B$9,Paramètres!$A$1:$I$89,7,0))</f>
        <v>5.5000000000000007E-2</v>
      </c>
      <c r="X38" s="16">
        <f>IF(ISNA(VLOOKUP(A38,'Données projet'!$A$35:$I$55,6,0)),0%,VLOOKUP(A38,'Données projet'!$A$35:$I$55,6,0)*VLOOKUP('Données projet'!$B$9,Paramètres!$A$1:$I$89,7,0))</f>
        <v>0.27500000000000002</v>
      </c>
      <c r="Y38" s="16">
        <f>IF(ISNA(VLOOKUP(A38,'Données projet'!$A$35:$I$55,7,0)),0%,VLOOKUP(A38,'Données projet'!$A$35:$I$55,7,0))</f>
        <v>0.4</v>
      </c>
      <c r="Z38" s="21">
        <f>EXP(-LN(2)/35)*Z37+(1-EXP(-LN(2)/35))/(LN(2)/35)*V38*W38*VLOOKUP('Données projet'!$B$9,Paramètres!$A$1:$I$89,3,0)*0.475*44/12</f>
        <v>2.4878986751318091</v>
      </c>
      <c r="AA38" s="21">
        <f>EXP(-LN(2)/25)*AA37+(1-EXP(-LN(2)/25))/(LN(2)/25)*Calculateur!V38*Calculateur!X38*VLOOKUP('Données projet'!$B$9,Paramètres!$A$1:$I$89,3,0)*0.475*44/12</f>
        <v>24.111016915817547</v>
      </c>
      <c r="AB38" s="21">
        <f>EXP(-LN(2)/2)*AB37+(1-EXP(-LN(2)/2))/(LN(2)/2)*V38*Y38*VLOOKUP('Données projet'!$B$9,Paramètres!$A$1:$I$89,3,0)*0.475*44/12</f>
        <v>18.33611485662064</v>
      </c>
      <c r="AC38" s="22">
        <f t="shared" si="3"/>
        <v>44.93503044757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150.88336605939878</v>
      </c>
      <c r="AO38" s="59">
        <f t="shared" si="36"/>
        <v>268.54782308462387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2.3841621060767295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6.5927773039478152</v>
      </c>
      <c r="AX38" s="21">
        <f t="shared" si="6"/>
        <v>8.9769394100245457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</v>
      </c>
      <c r="N39" s="13">
        <f>IF('Données projet'!$A$36&gt;35,N38+M39-V38,IF(A39&lt;'Données projet'!$A$36,$K$205^A39,IF(A39='Données projet'!$A$36,'Données projet'!$B$36,N38+M39-V38)))</f>
        <v>520.00000000000023</v>
      </c>
      <c r="O39" s="13">
        <f>N39*VLOOKUP('Données projet'!$B$9,Paramètres!$A$1:$I$89,3,0)*VLOOKUP('Données projet'!$B$9,Paramètres!$A$1:$I$89,5,0)</f>
        <v>290.68000000000018</v>
      </c>
      <c r="P39" s="13">
        <f t="shared" si="33"/>
        <v>69.219059283896499</v>
      </c>
      <c r="Q39" s="20">
        <f t="shared" si="53"/>
        <v>626.82419491945336</v>
      </c>
      <c r="R39" s="59">
        <f t="shared" si="0"/>
        <v>920.15752825278673</v>
      </c>
      <c r="S39" s="59">
        <f ca="1">AVERAGE(OFFSET($R$3,0,0,'Données projet'!$E$9+1,1))-AVERAGE(OFFSET($H$3,0,0,'Données projet'!$E$9+1,1))</f>
        <v>320.29885421543776</v>
      </c>
      <c r="T39" s="59">
        <f t="shared" si="34"/>
        <v>546.34638548793396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2.4391124995808284</v>
      </c>
      <c r="AA39" s="21">
        <f>EXP(-LN(2)/25)*AA38+(1-EXP(-LN(2)/25))/(LN(2)/25)*Calculateur!V39*Calculateur!X39*VLOOKUP('Données projet'!$B$9,Paramètres!$A$1:$I$89,3,0)*0.475*44/12</f>
        <v>23.451699890311243</v>
      </c>
      <c r="AB39" s="21">
        <f>EXP(-LN(2)/2)*AB38+(1-EXP(-LN(2)/2))/(LN(2)/2)*V39*Y39*VLOOKUP('Données projet'!$B$9,Paramètres!$A$1:$I$89,3,0)*0.475*44/12</f>
        <v>12.965591155731854</v>
      </c>
      <c r="AC39" s="22">
        <f t="shared" si="3"/>
        <v>38.856403545623927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150.88336605939878</v>
      </c>
      <c r="AO39" s="59">
        <f t="shared" si="36"/>
        <v>268.54782308462387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0.12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0.8</v>
      </c>
      <c r="AU39" s="21">
        <f>EXP(-LN(2)/35)*AU38+(1-EXP(-LN(2)/35))/(LN(2)/35)*AQ39*AR39*VLOOKUP('Données projet'!$B$10,Paramètres!$A$1:$I$89,3,0)*0.475*44/12</f>
        <v>8.4960652196172521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39.704840039837393</v>
      </c>
      <c r="AX39" s="21">
        <f t="shared" si="6"/>
        <v>48.200905259454643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</v>
      </c>
      <c r="N40" s="13">
        <f>IF('Données projet'!$A$36&gt;35,N39+M40-V39,IF(A40&lt;'Données projet'!$A$36,$K$205^A40,IF(A40='Données projet'!$A$36,'Données projet'!$B$36,N39+M40-V39)))</f>
        <v>542.00000000000023</v>
      </c>
      <c r="O40" s="13">
        <f>N40*VLOOKUP('Données projet'!$B$9,Paramètres!$A$1:$I$89,3,0)*VLOOKUP('Données projet'!$B$9,Paramètres!$A$1:$I$89,5,0)</f>
        <v>302.97800000000012</v>
      </c>
      <c r="P40" s="13">
        <f t="shared" si="33"/>
        <v>71.800407307414275</v>
      </c>
      <c r="Q40" s="20">
        <f t="shared" si="53"/>
        <v>652.73905939374674</v>
      </c>
      <c r="R40" s="59">
        <f t="shared" si="0"/>
        <v>946.07239272708011</v>
      </c>
      <c r="S40" s="59">
        <f ca="1">AVERAGE(OFFSET($R$3,0,0,'Données projet'!$E$9+1,1))-AVERAGE(OFFSET($H$3,0,0,'Données projet'!$E$9+1,1))</f>
        <v>320.29885421543776</v>
      </c>
      <c r="T40" s="59">
        <f t="shared" si="34"/>
        <v>546.34638548793396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2.3912829911757738</v>
      </c>
      <c r="AA40" s="21">
        <f>EXP(-LN(2)/25)*AA39+(1-EXP(-LN(2)/25))/(LN(2)/25)*Calculateur!V40*Calculateur!X40*VLOOKUP('Données projet'!$B$9,Paramètres!$A$1:$I$89,3,0)*0.475*44/12</f>
        <v>22.810411923539384</v>
      </c>
      <c r="AB40" s="21">
        <f>EXP(-LN(2)/2)*AB39+(1-EXP(-LN(2)/2))/(LN(2)/2)*V40*Y40*VLOOKUP('Données projet'!$B$9,Paramètres!$A$1:$I$89,3,0)*0.475*44/12</f>
        <v>9.1680574283103198</v>
      </c>
      <c r="AC40" s="22">
        <f t="shared" si="3"/>
        <v>34.369752343025482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150.88336605939878</v>
      </c>
      <c r="AO40" s="59">
        <f t="shared" si="36"/>
        <v>268.54782308462387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8.3294625627486525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28.075561638096172</v>
      </c>
      <c r="AX40" s="21">
        <f t="shared" si="6"/>
        <v>36.405024200844821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</v>
      </c>
      <c r="N41" s="13">
        <f>IF('Données projet'!$A$36&gt;35,N40+M41-V40,IF(A41&lt;'Données projet'!$A$36,$K$205^A41,IF(A41='Données projet'!$A$36,'Données projet'!$B$36,N40+M41-V40)))</f>
        <v>564.00000000000023</v>
      </c>
      <c r="O41" s="13">
        <f>N41*VLOOKUP('Données projet'!$B$9,Paramètres!$A$1:$I$89,3,0)*VLOOKUP('Données projet'!$B$9,Paramètres!$A$1:$I$89,5,0)</f>
        <v>315.27600000000012</v>
      </c>
      <c r="P41" s="13">
        <f t="shared" si="33"/>
        <v>74.36958441265493</v>
      </c>
      <c r="Q41" s="20">
        <f t="shared" si="53"/>
        <v>678.63272618537417</v>
      </c>
      <c r="R41" s="59">
        <f t="shared" si="0"/>
        <v>971.96605951870743</v>
      </c>
      <c r="S41" s="59">
        <f ca="1">AVERAGE(OFFSET($R$3,0,0,'Données projet'!$E$9+1,1))-AVERAGE(OFFSET($H$3,0,0,'Données projet'!$E$9+1,1))</f>
        <v>320.29885421543776</v>
      </c>
      <c r="T41" s="59">
        <f t="shared" si="34"/>
        <v>546.34638548793396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2.3443913902574227</v>
      </c>
      <c r="AA41" s="21">
        <f>EXP(-LN(2)/25)*AA40+(1-EXP(-LN(2)/25))/(LN(2)/25)*Calculateur!V41*Calculateur!X41*VLOOKUP('Données projet'!$B$9,Paramètres!$A$1:$I$89,3,0)*0.475*44/12</f>
        <v>22.18666000994277</v>
      </c>
      <c r="AB41" s="21">
        <f>EXP(-LN(2)/2)*AB40+(1-EXP(-LN(2)/2))/(LN(2)/2)*V41*Y41*VLOOKUP('Données projet'!$B$9,Paramètres!$A$1:$I$89,3,0)*0.475*44/12</f>
        <v>6.482795577865927</v>
      </c>
      <c r="AC41" s="22">
        <f t="shared" si="3"/>
        <v>31.01384697806612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150.88336605939878</v>
      </c>
      <c r="AO41" s="59">
        <f t="shared" si="36"/>
        <v>268.54782308462387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8.1661268823636597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19.8524200199187</v>
      </c>
      <c r="AX41" s="21">
        <f t="shared" si="6"/>
        <v>28.01854690228236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</v>
      </c>
      <c r="N42" s="13">
        <f>IF('Données projet'!$A$36&gt;35,N41+M42-V41,IF(A42&lt;'Données projet'!$A$36,$K$205^A42,IF(A42='Données projet'!$A$36,'Données projet'!$B$36,N41+M42-V41)))</f>
        <v>586.00000000000023</v>
      </c>
      <c r="O42" s="13">
        <f>N42*VLOOKUP('Données projet'!$B$9,Paramètres!$A$1:$I$89,3,0)*VLOOKUP('Données projet'!$B$9,Paramètres!$A$1:$I$89,5,0)</f>
        <v>327.57400000000013</v>
      </c>
      <c r="P42" s="13">
        <f t="shared" si="33"/>
        <v>76.927119684760882</v>
      </c>
      <c r="Q42" s="20">
        <f t="shared" si="53"/>
        <v>704.5061167842922</v>
      </c>
      <c r="R42" s="59">
        <f t="shared" si="0"/>
        <v>997.83945011762557</v>
      </c>
      <c r="S42" s="59">
        <f ca="1">AVERAGE(OFFSET($R$3,0,0,'Données projet'!$E$9+1,1))-AVERAGE(OFFSET($H$3,0,0,'Données projet'!$E$9+1,1))</f>
        <v>320.29885421543776</v>
      </c>
      <c r="T42" s="59">
        <f t="shared" si="34"/>
        <v>546.34638548793396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2.2984193050320281</v>
      </c>
      <c r="AA42" s="21">
        <f>EXP(-LN(2)/25)*AA41+(1-EXP(-LN(2)/25))/(LN(2)/25)*Calculateur!V42*Calculateur!X42*VLOOKUP('Données projet'!$B$9,Paramètres!$A$1:$I$89,3,0)*0.475*44/12</f>
        <v>21.579964625225145</v>
      </c>
      <c r="AB42" s="21">
        <f>EXP(-LN(2)/2)*AB41+(1-EXP(-LN(2)/2))/(LN(2)/2)*V42*Y42*VLOOKUP('Données projet'!$B$9,Paramètres!$A$1:$I$89,3,0)*0.475*44/12</f>
        <v>4.5840287141551599</v>
      </c>
      <c r="AC42" s="22">
        <f t="shared" si="3"/>
        <v>28.462412644412332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150.88336605939878</v>
      </c>
      <c r="AO42" s="59">
        <f t="shared" si="36"/>
        <v>268.54782308462387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8.0059941150460894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14.037780819048088</v>
      </c>
      <c r="AX42" s="21">
        <f t="shared" si="6"/>
        <v>22.043774934094177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608</v>
      </c>
      <c r="L43" s="12">
        <f>VLOOKUP(A43,'Données projet'!$A$35:$I$55,9,0)</f>
        <v>22</v>
      </c>
      <c r="M43" s="12">
        <f t="array" ref="M43">INDEX(L:L,MIN(IF(ISNUMBER(L43:L239),ROW(L43:L239),"")))</f>
        <v>22</v>
      </c>
      <c r="N43" s="13">
        <f>IF('Données projet'!$A$36&gt;35,N42+M43-V42,IF(A43&lt;'Données projet'!$A$36,$K$205^A43,IF(A43='Données projet'!$A$36,'Données projet'!$B$36,N42+M43-V42)))</f>
        <v>608.00000000000023</v>
      </c>
      <c r="O43" s="13">
        <f>N43*VLOOKUP('Données projet'!$B$9,Paramètres!$A$1:$I$89,3,0)*VLOOKUP('Données projet'!$B$9,Paramètres!$A$1:$I$89,5,0)</f>
        <v>339.87200000000018</v>
      </c>
      <c r="P43" s="13">
        <f t="shared" si="33"/>
        <v>79.473500231862857</v>
      </c>
      <c r="Q43" s="20">
        <f t="shared" si="53"/>
        <v>730.3600795704948</v>
      </c>
      <c r="R43" s="59">
        <f t="shared" si="0"/>
        <v>1023.6934129038282</v>
      </c>
      <c r="S43" s="59">
        <f ca="1">AVERAGE(OFFSET($R$3,0,0,'Données projet'!$E$9+1,1))-AVERAGE(OFFSET($H$3,0,0,'Données projet'!$E$9+1,1))</f>
        <v>320.29885421543776</v>
      </c>
      <c r="T43" s="59">
        <f t="shared" si="34"/>
        <v>546.34638548793396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64</v>
      </c>
      <c r="W43" s="16">
        <f>IF(ISNA(VLOOKUP(A43,'Données projet'!$A$35:$I$55,5,0)),0%,VLOOKUP(A43,'Données projet'!$A$35:$I$55,5,0)*VLOOKUP('Données projet'!$B$9,Paramètres!$A$1:$I$89,7,0))</f>
        <v>0.13750000000000001</v>
      </c>
      <c r="X43" s="16">
        <f>IF(ISNA(VLOOKUP(A43,'Données projet'!$A$35:$I$55,6,0)),0%,VLOOKUP(A43,'Données projet'!$A$35:$I$55,6,0)*VLOOKUP('Données projet'!$B$9,Paramètres!$A$1:$I$89,7,0))</f>
        <v>0.27500000000000002</v>
      </c>
      <c r="Y43" s="16">
        <f>IF(ISNA(VLOOKUP(A43,'Données projet'!$A$35:$I$55,7,0)),0%,VLOOKUP(A43,'Données projet'!$A$35:$I$55,7,0))</f>
        <v>0.25</v>
      </c>
      <c r="Z43" s="21">
        <f>EXP(-LN(2)/35)*Z42+(1-EXP(-LN(2)/35))/(LN(2)/35)*V43*W43*VLOOKUP('Données projet'!$B$9,Paramètres!$A$1:$I$89,3,0)*0.475*44/12</f>
        <v>8.7789845735558867</v>
      </c>
      <c r="AA43" s="21">
        <f>EXP(-LN(2)/25)*AA42+(1-EXP(-LN(2)/25))/(LN(2)/25)*Calculateur!V43*Calculateur!X43*VLOOKUP('Données projet'!$B$9,Paramètres!$A$1:$I$89,3,0)*0.475*44/12</f>
        <v>33.989743266345251</v>
      </c>
      <c r="AB43" s="21">
        <f>EXP(-LN(2)/2)*AB42+(1-EXP(-LN(2)/2))/(LN(2)/2)*V43*Y43*VLOOKUP('Données projet'!$B$9,Paramètres!$A$1:$I$89,3,0)*0.475*44/12</f>
        <v>13.368083458009675</v>
      </c>
      <c r="AC43" s="22">
        <f t="shared" si="3"/>
        <v>56.13681129791081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150.88336605939878</v>
      </c>
      <c r="AO43" s="59">
        <f t="shared" si="36"/>
        <v>268.54782308462387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7.8490014536242727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9.92621000995935</v>
      </c>
      <c r="AX43" s="21">
        <f t="shared" si="6"/>
        <v>17.775211463583624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19.600000000000001</v>
      </c>
      <c r="N44" s="13">
        <f>IF('Données projet'!$A$36&gt;35,N43+M44-V43,IF(A44&lt;'Données projet'!$A$36,$K$205^A44,IF(A44='Données projet'!$A$36,'Données projet'!$B$36,N43+M44-V43)))</f>
        <v>563.60000000000025</v>
      </c>
      <c r="O44" s="13">
        <f>N44*VLOOKUP('Données projet'!$B$9,Paramètres!$A$1:$I$89,3,0)*VLOOKUP('Données projet'!$B$9,Paramètres!$A$1:$I$89,5,0)</f>
        <v>315.05240000000015</v>
      </c>
      <c r="P44" s="13">
        <f t="shared" si="33"/>
        <v>74.322977548888488</v>
      </c>
      <c r="Q44" s="20">
        <f t="shared" si="53"/>
        <v>678.16211589764771</v>
      </c>
      <c r="R44" s="59">
        <f t="shared" si="0"/>
        <v>971.49544923098097</v>
      </c>
      <c r="S44" s="59">
        <f ca="1">AVERAGE(OFFSET($R$3,0,0,'Données projet'!$E$9+1,1))-AVERAGE(OFFSET($H$3,0,0,'Données projet'!$E$9+1,1))</f>
        <v>320.29885421543776</v>
      </c>
      <c r="T44" s="59">
        <f t="shared" si="34"/>
        <v>546.34638548793396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8.606834040720317</v>
      </c>
      <c r="AA44" s="21">
        <f>EXP(-LN(2)/25)*AA43+(1-EXP(-LN(2)/25))/(LN(2)/25)*Calculateur!V44*Calculateur!X44*VLOOKUP('Données projet'!$B$9,Paramètres!$A$1:$I$89,3,0)*0.475*44/12</f>
        <v>33.060291949284128</v>
      </c>
      <c r="AB44" s="21">
        <f>EXP(-LN(2)/2)*AB43+(1-EXP(-LN(2)/2))/(LN(2)/2)*V44*Y44*VLOOKUP('Données projet'!$B$9,Paramètres!$A$1:$I$89,3,0)*0.475*44/12</f>
        <v>9.4526624646263535</v>
      </c>
      <c r="AC44" s="22">
        <f t="shared" si="3"/>
        <v>51.119788454630793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150.88336605939878</v>
      </c>
      <c r="AO44" s="59">
        <f t="shared" si="36"/>
        <v>268.54782308462387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7.6950873225368692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7.0188904095240439</v>
      </c>
      <c r="AX44" s="21">
        <f t="shared" si="6"/>
        <v>14.713977732060913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19.600000000000001</v>
      </c>
      <c r="N45" s="13">
        <f>IF('Données projet'!$A$36&gt;35,N44+M45-V44,IF(A45&lt;'Données projet'!$A$36,$K$205^A45,IF(A45='Données projet'!$A$36,'Données projet'!$B$36,N44+M45-V44)))</f>
        <v>583.20000000000027</v>
      </c>
      <c r="O45" s="13">
        <f>N45*VLOOKUP('Données projet'!$B$9,Paramètres!$A$1:$I$89,3,0)*VLOOKUP('Données projet'!$B$9,Paramètres!$A$1:$I$89,5,0)</f>
        <v>326.00880000000018</v>
      </c>
      <c r="P45" s="13">
        <f t="shared" si="33"/>
        <v>76.602244480772981</v>
      </c>
      <c r="Q45" s="20">
        <f t="shared" si="53"/>
        <v>701.21423580401324</v>
      </c>
      <c r="R45" s="59">
        <f t="shared" si="0"/>
        <v>994.5475691373465</v>
      </c>
      <c r="S45" s="59">
        <f ca="1">AVERAGE(OFFSET($R$3,0,0,'Données projet'!$E$9+1,1))-AVERAGE(OFFSET($H$3,0,0,'Données projet'!$E$9+1,1))</f>
        <v>320.29885421543776</v>
      </c>
      <c r="T45" s="59">
        <f t="shared" si="34"/>
        <v>546.34638548793396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8.438059274832197</v>
      </c>
      <c r="AA45" s="21">
        <f>EXP(-LN(2)/25)*AA44+(1-EXP(-LN(2)/25))/(LN(2)/25)*Calculateur!V45*Calculateur!X45*VLOOKUP('Données projet'!$B$9,Paramètres!$A$1:$I$89,3,0)*0.475*44/12</f>
        <v>32.156256527365763</v>
      </c>
      <c r="AB45" s="21">
        <f>EXP(-LN(2)/2)*AB44+(1-EXP(-LN(2)/2))/(LN(2)/2)*V45*Y45*VLOOKUP('Données projet'!$B$9,Paramètres!$A$1:$I$89,3,0)*0.475*44/12</f>
        <v>6.6840417290048384</v>
      </c>
      <c r="AC45" s="22">
        <f t="shared" si="3"/>
        <v>47.278357531202801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150.88336605939878</v>
      </c>
      <c r="AO45" s="59">
        <f t="shared" si="36"/>
        <v>268.54782308462387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0.42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0.3</v>
      </c>
      <c r="AU45" s="21">
        <f>EXP(-LN(2)/35)*AU44+(1-EXP(-LN(2)/35))/(LN(2)/35)*AQ45*AR45*VLOOKUP('Données projet'!$B$10,Paramètres!$A$1:$I$89,3,0)*0.475*44/12</f>
        <v>30.837814189948585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19.164015373475621</v>
      </c>
      <c r="AX45" s="21">
        <f t="shared" si="6"/>
        <v>50.001829563424209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19.600000000000001</v>
      </c>
      <c r="N46" s="13">
        <f>IF('Données projet'!$A$36&gt;35,N45+M46-V45,IF(A46&lt;'Données projet'!$A$36,$K$205^A46,IF(A46='Données projet'!$A$36,'Données projet'!$B$36,N45+M46-V45)))</f>
        <v>602.8000000000003</v>
      </c>
      <c r="O46" s="13">
        <f>N46*VLOOKUP('Données projet'!$B$9,Paramètres!$A$1:$I$89,3,0)*VLOOKUP('Données projet'!$B$9,Paramètres!$A$1:$I$89,5,0)</f>
        <v>336.96520000000015</v>
      </c>
      <c r="P46" s="13">
        <f t="shared" si="33"/>
        <v>78.87261071779271</v>
      </c>
      <c r="Q46" s="20">
        <f t="shared" si="53"/>
        <v>724.25085366682254</v>
      </c>
      <c r="R46" s="59">
        <f t="shared" si="0"/>
        <v>1017.5841870001559</v>
      </c>
      <c r="S46" s="59">
        <f ca="1">AVERAGE(OFFSET($R$3,0,0,'Données projet'!$E$9+1,1))-AVERAGE(OFFSET($H$3,0,0,'Données projet'!$E$9+1,1))</f>
        <v>320.29885421543776</v>
      </c>
      <c r="T46" s="59">
        <f t="shared" si="34"/>
        <v>546.34638548793396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8.2725940791607009</v>
      </c>
      <c r="AA46" s="21">
        <f>EXP(-LN(2)/25)*AA45+(1-EXP(-LN(2)/25))/(LN(2)/25)*Calculateur!V46*Calculateur!X46*VLOOKUP('Données projet'!$B$9,Paramètres!$A$1:$I$89,3,0)*0.475*44/12</f>
        <v>31.276942001600908</v>
      </c>
      <c r="AB46" s="21">
        <f>EXP(-LN(2)/2)*AB45+(1-EXP(-LN(2)/2))/(LN(2)/2)*V46*Y46*VLOOKUP('Données projet'!$B$9,Paramètres!$A$1:$I$89,3,0)*0.475*44/12</f>
        <v>4.7263312323131776</v>
      </c>
      <c r="AC46" s="22">
        <f t="shared" si="3"/>
        <v>44.275867313074791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150.88336605939878</v>
      </c>
      <c r="AO46" s="59">
        <f t="shared" si="36"/>
        <v>268.54782308462387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30.233103462893094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13.551005225347859</v>
      </c>
      <c r="AX46" s="21">
        <f t="shared" si="6"/>
        <v>43.784108688240956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19.600000000000001</v>
      </c>
      <c r="N47" s="13">
        <f>IF('Données projet'!$A$36&gt;35,N46+M47-V46,IF(A47&lt;'Données projet'!$A$36,$K$205^A47,IF(A47='Données projet'!$A$36,'Données projet'!$B$36,N46+M47-V46)))</f>
        <v>622.40000000000032</v>
      </c>
      <c r="O47" s="13">
        <f>N47*VLOOKUP('Données projet'!$B$9,Paramètres!$A$1:$I$89,3,0)*VLOOKUP('Données projet'!$B$9,Paramètres!$A$1:$I$89,5,0)</f>
        <v>347.92160000000018</v>
      </c>
      <c r="P47" s="13">
        <f t="shared" si="33"/>
        <v>81.13439885698952</v>
      </c>
      <c r="Q47" s="20">
        <f t="shared" si="53"/>
        <v>747.27253134259047</v>
      </c>
      <c r="R47" s="59">
        <f t="shared" si="0"/>
        <v>1040.6058646759238</v>
      </c>
      <c r="S47" s="59">
        <f ca="1">AVERAGE(OFFSET($R$3,0,0,'Données projet'!$E$9+1,1))-AVERAGE(OFFSET($H$3,0,0,'Données projet'!$E$9+1,1))</f>
        <v>320.29885421543776</v>
      </c>
      <c r="T47" s="59">
        <f t="shared" si="34"/>
        <v>546.34638548793396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8.1103735550525187</v>
      </c>
      <c r="AA47" s="21">
        <f>EXP(-LN(2)/25)*AA46+(1-EXP(-LN(2)/25))/(LN(2)/25)*Calculateur!V47*Calculateur!X47*VLOOKUP('Données projet'!$B$9,Paramètres!$A$1:$I$89,3,0)*0.475*44/12</f>
        <v>30.421672377784237</v>
      </c>
      <c r="AB47" s="21">
        <f>EXP(-LN(2)/2)*AB46+(1-EXP(-LN(2)/2))/(LN(2)/2)*V47*Y47*VLOOKUP('Données projet'!$B$9,Paramètres!$A$1:$I$89,3,0)*0.475*44/12</f>
        <v>3.3420208645024196</v>
      </c>
      <c r="AC47" s="22">
        <f t="shared" si="3"/>
        <v>41.874066797339168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150.88336605939878</v>
      </c>
      <c r="AO47" s="59">
        <f t="shared" si="36"/>
        <v>268.54782308462387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29.640250744358038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9.5820076867378123</v>
      </c>
      <c r="AX47" s="21">
        <f t="shared" si="6"/>
        <v>39.222258431095852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642</v>
      </c>
      <c r="L48" s="12">
        <f>VLOOKUP(A48,'Données projet'!$A$35:$I$55,9,0)</f>
        <v>19.600000000000001</v>
      </c>
      <c r="M48" s="12">
        <f t="array" ref="M48">INDEX(L:L,MIN(IF(ISNUMBER(L48:L244),ROW(L48:L244),"")))</f>
        <v>19.600000000000001</v>
      </c>
      <c r="N48" s="13">
        <f>IF('Données projet'!$A$36&gt;35,N47+M48-V47,IF(A48&lt;'Données projet'!$A$36,$K$205^A48,IF(A48='Données projet'!$A$36,'Données projet'!$B$36,N47+M48-V47)))</f>
        <v>642.00000000000034</v>
      </c>
      <c r="O48" s="13">
        <f>N48*VLOOKUP('Données projet'!$B$9,Paramètres!$A$1:$I$89,3,0)*VLOOKUP('Données projet'!$B$9,Paramètres!$A$1:$I$89,5,0)</f>
        <v>358.87800000000016</v>
      </c>
      <c r="P48" s="13">
        <f t="shared" si="33"/>
        <v>83.387910023686786</v>
      </c>
      <c r="Q48" s="20">
        <f t="shared" si="53"/>
        <v>770.2797932912548</v>
      </c>
      <c r="R48" s="59">
        <f t="shared" si="0"/>
        <v>1063.6131266245882</v>
      </c>
      <c r="S48" s="59">
        <f ca="1">AVERAGE(OFFSET($R$3,0,0,'Données projet'!$E$9+1,1))-AVERAGE(OFFSET($H$3,0,0,'Données projet'!$E$9+1,1))</f>
        <v>320.29885421543776</v>
      </c>
      <c r="T48" s="59">
        <f t="shared" si="34"/>
        <v>546.34638548793396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642</v>
      </c>
      <c r="W48" s="16">
        <f>IF(ISNA(VLOOKUP(A48,'Données projet'!$A$35:$I$55,5,0)),0%,VLOOKUP(A48,'Données projet'!$A$35:$I$55,5,0)*VLOOKUP('Données projet'!$B$9,Paramètres!$A$1:$I$89,7,0))</f>
        <v>0.41250000000000003</v>
      </c>
      <c r="X48" s="16">
        <f>IF(ISNA(VLOOKUP(A48,'Données projet'!$A$35:$I$55,6,0)),0%,VLOOKUP(A48,'Données projet'!$A$35:$I$55,6,0)*VLOOKUP('Données projet'!$B$9,Paramètres!$A$1:$I$89,7,0))</f>
        <v>8.2500000000000004E-2</v>
      </c>
      <c r="Y48" s="16">
        <f>IF(ISNA(VLOOKUP(A48,'Données projet'!$A$35:$I$55,7,0)),0%,VLOOKUP(A48,'Données projet'!$A$35:$I$55,7,0))</f>
        <v>0.1</v>
      </c>
      <c r="Z48" s="21">
        <f>EXP(-LN(2)/35)*Z47+(1-EXP(-LN(2)/35))/(LN(2)/35)*V48*W48*VLOOKUP('Données projet'!$B$9,Paramètres!$A$1:$I$89,3,0)*0.475*44/12</f>
        <v>204.33218851516025</v>
      </c>
      <c r="AA48" s="21">
        <f>EXP(-LN(2)/25)*AA47+(1-EXP(-LN(2)/25))/(LN(2)/25)*Calculateur!V48*Calculateur!X48*VLOOKUP('Données projet'!$B$9,Paramètres!$A$1:$I$89,3,0)*0.475*44/12</f>
        <v>68.7113157843647</v>
      </c>
      <c r="AB48" s="21">
        <f>EXP(-LN(2)/2)*AB47+(1-EXP(-LN(2)/2))/(LN(2)/2)*V48*Y48*VLOOKUP('Données projet'!$B$9,Paramètres!$A$1:$I$89,3,0)*0.475*44/12</f>
        <v>42.996491863326881</v>
      </c>
      <c r="AC48" s="22">
        <f t="shared" si="3"/>
        <v>316.03999616285182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150.88336605939878</v>
      </c>
      <c r="AO48" s="59">
        <f t="shared" si="36"/>
        <v>268.54782308462387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29.059023506029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6.7755026126739315</v>
      </c>
      <c r="AX48" s="21">
        <f t="shared" si="6"/>
        <v>35.834526118702932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3.4106051316484809E-13</v>
      </c>
      <c r="O49" s="13">
        <f>N49*VLOOKUP('Données projet'!$B$9,Paramètres!$A$1:$I$89,3,0)*VLOOKUP('Données projet'!$B$9,Paramètres!$A$1:$I$89,5,0)</f>
        <v>1.9065282685915009E-13</v>
      </c>
      <c r="P49" s="13">
        <f t="shared" si="33"/>
        <v>2.6568987209435707E-12</v>
      </c>
      <c r="Q49" s="20">
        <f t="shared" si="53"/>
        <v>4.959485612423072E-12</v>
      </c>
      <c r="R49" s="59">
        <f t="shared" si="0"/>
        <v>293.33333333333826</v>
      </c>
      <c r="S49" s="59">
        <f ca="1">AVERAGE(OFFSET($R$3,0,0,'Données projet'!$E$9+1,1))-AVERAGE(OFFSET($H$3,0,0,'Données projet'!$E$9+1,1))</f>
        <v>320.29885421543776</v>
      </c>
      <c r="T49" s="59">
        <f t="shared" si="34"/>
        <v>546.34638548793396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200.32535892870672</v>
      </c>
      <c r="AA49" s="21">
        <f>EXP(-LN(2)/25)*AA48+(1-EXP(-LN(2)/25))/(LN(2)/25)*Calculateur!V49*Calculateur!X49*VLOOKUP('Données projet'!$B$9,Paramètres!$A$1:$I$89,3,0)*0.475*44/12</f>
        <v>66.832401240870198</v>
      </c>
      <c r="AB49" s="21">
        <f>EXP(-LN(2)/2)*AB48+(1-EXP(-LN(2)/2))/(LN(2)/2)*V49*Y49*VLOOKUP('Données projet'!$B$9,Paramètres!$A$1:$I$89,3,0)*0.475*44/12</f>
        <v>30.403110963790652</v>
      </c>
      <c r="AC49" s="22">
        <f t="shared" si="3"/>
        <v>297.56087113336758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150.88336605939878</v>
      </c>
      <c r="AO49" s="59">
        <f t="shared" si="36"/>
        <v>268.54782308462387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28.489193779329984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4.7910038433689071</v>
      </c>
      <c r="AX49" s="21">
        <f t="shared" si="6"/>
        <v>33.280197622698893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3.4106051316484809E-13</v>
      </c>
      <c r="O50" s="13">
        <f>N50*VLOOKUP('Données projet'!$B$9,Paramètres!$A$1:$I$89,3,0)*VLOOKUP('Données projet'!$B$9,Paramètres!$A$1:$I$89,5,0)</f>
        <v>1.9065282685915009E-13</v>
      </c>
      <c r="P50" s="13">
        <f t="shared" si="33"/>
        <v>2.6568987209435707E-12</v>
      </c>
      <c r="Q50" s="20">
        <f t="shared" si="53"/>
        <v>4.959485612423072E-12</v>
      </c>
      <c r="R50" s="59">
        <f t="shared" si="0"/>
        <v>293.33333333333826</v>
      </c>
      <c r="S50" s="59">
        <f ca="1">AVERAGE(OFFSET($R$3,0,0,'Données projet'!$E$9+1,1))-AVERAGE(OFFSET($H$3,0,0,'Données projet'!$E$9+1,1))</f>
        <v>320.29885421543776</v>
      </c>
      <c r="T50" s="59">
        <f t="shared" si="34"/>
        <v>546.34638548793396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196.39710082651882</v>
      </c>
      <c r="AA50" s="21">
        <f>EXP(-LN(2)/25)*AA49+(1-EXP(-LN(2)/25))/(LN(2)/25)*Calculateur!V50*Calculateur!X50*VLOOKUP('Données projet'!$B$9,Paramètres!$A$1:$I$89,3,0)*0.475*44/12</f>
        <v>65.00486571437537</v>
      </c>
      <c r="AB50" s="21">
        <f>EXP(-LN(2)/2)*AB49+(1-EXP(-LN(2)/2))/(LN(2)/2)*V50*Y50*VLOOKUP('Données projet'!$B$9,Paramètres!$A$1:$I$89,3,0)*0.475*44/12</f>
        <v>21.498245931663444</v>
      </c>
      <c r="AC50" s="22">
        <f t="shared" si="3"/>
        <v>282.90021247255766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150.88336605939878</v>
      </c>
      <c r="AO50" s="59">
        <f t="shared" si="36"/>
        <v>268.54782308462387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27.930538066009721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3.3877513063369662</v>
      </c>
      <c r="AX50" s="21">
        <f t="shared" si="6"/>
        <v>31.318289372346687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3.4106051316484809E-13</v>
      </c>
      <c r="O51" s="13">
        <f>N51*VLOOKUP('Données projet'!$B$9,Paramètres!$A$1:$I$89,3,0)*VLOOKUP('Données projet'!$B$9,Paramètres!$A$1:$I$89,5,0)</f>
        <v>1.9065282685915009E-13</v>
      </c>
      <c r="P51" s="13">
        <f t="shared" si="33"/>
        <v>2.6568987209435707E-12</v>
      </c>
      <c r="Q51" s="20">
        <f t="shared" si="53"/>
        <v>4.959485612423072E-12</v>
      </c>
      <c r="R51" s="59">
        <f t="shared" si="0"/>
        <v>293.33333333333826</v>
      </c>
      <c r="S51" s="59">
        <f ca="1">AVERAGE(OFFSET($R$3,0,0,'Données projet'!$E$9+1,1))-AVERAGE(OFFSET($H$3,0,0,'Données projet'!$E$9+1,1))</f>
        <v>320.29885421543776</v>
      </c>
      <c r="T51" s="59">
        <f t="shared" si="34"/>
        <v>546.34638548793396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192.54587346971397</v>
      </c>
      <c r="AA51" s="21">
        <f>EXP(-LN(2)/25)*AA50+(1-EXP(-LN(2)/25))/(LN(2)/25)*Calculateur!V51*Calculateur!X51*VLOOKUP('Données projet'!$B$9,Paramètres!$A$1:$I$89,3,0)*0.475*44/12</f>
        <v>63.227304242958461</v>
      </c>
      <c r="AB51" s="21">
        <f>EXP(-LN(2)/2)*AB50+(1-EXP(-LN(2)/2))/(LN(2)/2)*V51*Y51*VLOOKUP('Données projet'!$B$9,Paramètres!$A$1:$I$89,3,0)*0.475*44/12</f>
        <v>15.20155548189533</v>
      </c>
      <c r="AC51" s="22">
        <f t="shared" si="3"/>
        <v>270.97473319456776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150.88336605939878</v>
      </c>
      <c r="AO51" s="59">
        <f t="shared" si="36"/>
        <v>268.54782308462387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252</v>
      </c>
      <c r="AR51" s="16">
        <f>IF(ISNA(VLOOKUP(A51,'Données projet'!$A$61:$I$81,5,0)),0%,VLOOKUP(A51,'Données projet'!$A$61:$I$81,5,0)*VLOOKUP('Données projet'!$B$10,Paramètres!$A$1:$I$89,7,0))</f>
        <v>0.42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0.3</v>
      </c>
      <c r="AU51" s="21">
        <f>EXP(-LN(2)/35)*AU50+(1-EXP(-LN(2)/35))/(LN(2)/35)*AQ51*AR51*VLOOKUP('Données projet'!$B$10,Paramètres!$A$1:$I$89,3,0)*0.475*44/12</f>
        <v>114.9946723958432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55.807881218116961</v>
      </c>
      <c r="AX51" s="21">
        <f t="shared" si="6"/>
        <v>170.80255361396016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3.4106051316484809E-13</v>
      </c>
      <c r="O52" s="13">
        <f>N52*VLOOKUP('Données projet'!$B$9,Paramètres!$A$1:$I$89,3,0)*VLOOKUP('Données projet'!$B$9,Paramètres!$A$1:$I$89,5,0)</f>
        <v>1.9065282685915009E-13</v>
      </c>
      <c r="P52" s="13">
        <f t="shared" si="33"/>
        <v>2.6568987209435707E-12</v>
      </c>
      <c r="Q52" s="20">
        <f t="shared" si="53"/>
        <v>4.959485612423072E-12</v>
      </c>
      <c r="R52" s="59">
        <f t="shared" si="0"/>
        <v>293.33333333333826</v>
      </c>
      <c r="S52" s="59">
        <f ca="1">AVERAGE(OFFSET($R$3,0,0,'Données projet'!$E$9+1,1))-AVERAGE(OFFSET($H$3,0,0,'Données projet'!$E$9+1,1))</f>
        <v>320.29885421543776</v>
      </c>
      <c r="T52" s="59">
        <f t="shared" si="34"/>
        <v>546.34638548793396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188.77016633235931</v>
      </c>
      <c r="AA52" s="21">
        <f>EXP(-LN(2)/25)*AA51+(1-EXP(-LN(2)/25))/(LN(2)/25)*Calculateur!V52*Calculateur!X52*VLOOKUP('Données projet'!$B$9,Paramètres!$A$1:$I$89,3,0)*0.475*44/12</f>
        <v>61.498350283455338</v>
      </c>
      <c r="AB52" s="21">
        <f>EXP(-LN(2)/2)*AB51+(1-EXP(-LN(2)/2))/(LN(2)/2)*V52*Y52*VLOOKUP('Données projet'!$B$9,Paramètres!$A$1:$I$89,3,0)*0.475*44/12</f>
        <v>10.749122965831724</v>
      </c>
      <c r="AC52" s="22">
        <f t="shared" si="3"/>
        <v>261.01763958164634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-2.8421709430404007E-14</v>
      </c>
      <c r="AJ52" s="13">
        <f>AI52*VLOOKUP('Données projet'!$B$10,Paramètres!$A$1:$I$89,3,0)*VLOOKUP('Données projet'!$B$10,Paramètres!$A$1:$I$89,5,0)</f>
        <v>-1.7735146684572101E-14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150.88336605939878</v>
      </c>
      <c r="AO52" s="59">
        <f t="shared" si="36"/>
        <v>268.54782308462387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112.73969700998514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39.462131252983866</v>
      </c>
      <c r="AX52" s="21">
        <f t="shared" si="6"/>
        <v>152.201828262969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3.4106051316484809E-13</v>
      </c>
      <c r="O53" s="13">
        <f>N53*VLOOKUP('Données projet'!$B$9,Paramètres!$A$1:$I$89,3,0)*VLOOKUP('Données projet'!$B$9,Paramètres!$A$1:$I$89,5,0)</f>
        <v>1.9065282685915009E-13</v>
      </c>
      <c r="P53" s="13">
        <f t="shared" si="33"/>
        <v>2.6568987209435707E-12</v>
      </c>
      <c r="Q53" s="20">
        <f t="shared" si="53"/>
        <v>4.959485612423072E-12</v>
      </c>
      <c r="R53" s="59">
        <f t="shared" si="0"/>
        <v>293.33333333333826</v>
      </c>
      <c r="S53" s="59">
        <f ca="1">AVERAGE(OFFSET($R$3,0,0,'Données projet'!$E$9+1,1))-AVERAGE(OFFSET($H$3,0,0,'Données projet'!$E$9+1,1))</f>
        <v>320.29885421543776</v>
      </c>
      <c r="T53" s="59">
        <f t="shared" si="34"/>
        <v>546.34638548793396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185.06849850901423</v>
      </c>
      <c r="AA53" s="21">
        <f>EXP(-LN(2)/25)*AA52+(1-EXP(-LN(2)/25))/(LN(2)/25)*Calculateur!V53*Calculateur!X53*VLOOKUP('Données projet'!$B$9,Paramètres!$A$1:$I$89,3,0)*0.475*44/12</f>
        <v>59.816674660896567</v>
      </c>
      <c r="AB53" s="21">
        <f>EXP(-LN(2)/2)*AB52+(1-EXP(-LN(2)/2))/(LN(2)/2)*V53*Y53*VLOOKUP('Données projet'!$B$9,Paramètres!$A$1:$I$89,3,0)*0.475*44/12</f>
        <v>7.6007777409476658</v>
      </c>
      <c r="AC53" s="22">
        <f t="shared" si="3"/>
        <v>252.48595091085846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-2.8421709430404007E-14</v>
      </c>
      <c r="AJ53" s="13">
        <f>AI53*VLOOKUP('Données projet'!$B$10,Paramètres!$A$1:$I$89,3,0)*VLOOKUP('Données projet'!$B$10,Paramètres!$A$1:$I$89,5,0)</f>
        <v>-1.7735146684572101E-14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150.88336605939878</v>
      </c>
      <c r="AO53" s="59">
        <f t="shared" si="36"/>
        <v>268.54782308462387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110.52894031604458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27.903940609058484</v>
      </c>
      <c r="AX53" s="21">
        <f t="shared" si="6"/>
        <v>138.43288092510306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3.4106051316484809E-13</v>
      </c>
      <c r="O54" s="13">
        <f>N54*VLOOKUP('Données projet'!$B$9,Paramètres!$A$1:$I$89,3,0)*VLOOKUP('Données projet'!$B$9,Paramètres!$A$1:$I$89,5,0)</f>
        <v>1.9065282685915009E-13</v>
      </c>
      <c r="P54" s="13">
        <f t="shared" si="33"/>
        <v>2.6568987209435707E-12</v>
      </c>
      <c r="Q54" s="20">
        <f t="shared" si="53"/>
        <v>4.959485612423072E-12</v>
      </c>
      <c r="R54" s="59">
        <f t="shared" si="0"/>
        <v>293.33333333333826</v>
      </c>
      <c r="S54" s="59">
        <f ca="1">AVERAGE(OFFSET($R$3,0,0,'Données projet'!$E$9+1,1))-AVERAGE(OFFSET($H$3,0,0,'Données projet'!$E$9+1,1))</f>
        <v>320.29885421543776</v>
      </c>
      <c r="T54" s="59">
        <f t="shared" si="34"/>
        <v>546.34638548793396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181.43941813389051</v>
      </c>
      <c r="AA54" s="21">
        <f>EXP(-LN(2)/25)*AA53+(1-EXP(-LN(2)/25))/(LN(2)/25)*Calculateur!V54*Calculateur!X54*VLOOKUP('Données projet'!$B$9,Paramètres!$A$1:$I$89,3,0)*0.475*44/12</f>
        <v>58.180984546672143</v>
      </c>
      <c r="AB54" s="21">
        <f>EXP(-LN(2)/2)*AB53+(1-EXP(-LN(2)/2))/(LN(2)/2)*V54*Y54*VLOOKUP('Données projet'!$B$9,Paramètres!$A$1:$I$89,3,0)*0.475*44/12</f>
        <v>5.3745614829158628</v>
      </c>
      <c r="AC54" s="22">
        <f t="shared" si="3"/>
        <v>244.9949641634785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-2.8421709430404007E-14</v>
      </c>
      <c r="AJ54" s="13">
        <f>AI54*VLOOKUP('Données projet'!$B$10,Paramètres!$A$1:$I$89,3,0)*VLOOKUP('Données projet'!$B$10,Paramètres!$A$1:$I$89,5,0)</f>
        <v>-1.7735146684572101E-14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150.88336605939878</v>
      </c>
      <c r="AO54" s="59">
        <f t="shared" si="36"/>
        <v>268.54782308462387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108.36153521244377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19.731065626491937</v>
      </c>
      <c r="AX54" s="21">
        <f t="shared" si="6"/>
        <v>128.09260083893571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3.4106051316484809E-13</v>
      </c>
      <c r="O55" s="13">
        <f>N55*VLOOKUP('Données projet'!$B$9,Paramètres!$A$1:$I$89,3,0)*VLOOKUP('Données projet'!$B$9,Paramètres!$A$1:$I$89,5,0)</f>
        <v>1.9065282685915009E-13</v>
      </c>
      <c r="P55" s="13">
        <f t="shared" si="33"/>
        <v>2.6568987209435707E-12</v>
      </c>
      <c r="Q55" s="20">
        <f t="shared" si="53"/>
        <v>4.959485612423072E-12</v>
      </c>
      <c r="R55" s="59">
        <f t="shared" si="0"/>
        <v>293.33333333333826</v>
      </c>
      <c r="S55" s="59">
        <f ca="1">AVERAGE(OFFSET($R$3,0,0,'Données projet'!$E$9+1,1))-AVERAGE(OFFSET($H$3,0,0,'Données projet'!$E$9+1,1))</f>
        <v>320.29885421543776</v>
      </c>
      <c r="T55" s="59">
        <f t="shared" si="34"/>
        <v>546.34638548793396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177.8815018114025</v>
      </c>
      <c r="AA55" s="21">
        <f>EXP(-LN(2)/25)*AA54+(1-EXP(-LN(2)/25))/(LN(2)/25)*Calculateur!V55*Calculateur!X55*VLOOKUP('Données projet'!$B$9,Paramètres!$A$1:$I$89,3,0)*0.475*44/12</f>
        <v>56.590022464638388</v>
      </c>
      <c r="AB55" s="21">
        <f>EXP(-LN(2)/2)*AB54+(1-EXP(-LN(2)/2))/(LN(2)/2)*V55*Y55*VLOOKUP('Données projet'!$B$9,Paramètres!$A$1:$I$89,3,0)*0.475*44/12</f>
        <v>3.8003888704738338</v>
      </c>
      <c r="AC55" s="22">
        <f t="shared" si="3"/>
        <v>238.27191314651472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-2.8421709430404007E-14</v>
      </c>
      <c r="AJ55" s="13">
        <f>AI55*VLOOKUP('Données projet'!$B$10,Paramètres!$A$1:$I$89,3,0)*VLOOKUP('Données projet'!$B$10,Paramètres!$A$1:$I$89,5,0)</f>
        <v>-1.7735146684572101E-14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150.88336605939878</v>
      </c>
      <c r="AO55" s="59">
        <f t="shared" si="36"/>
        <v>268.54782308462387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106.23663160093798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13.951970304529244</v>
      </c>
      <c r="AX55" s="21">
        <f t="shared" si="6"/>
        <v>120.18860190546722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3.4106051316484809E-13</v>
      </c>
      <c r="O56" s="13">
        <f>N56*VLOOKUP('Données projet'!$B$9,Paramètres!$A$1:$I$89,3,0)*VLOOKUP('Données projet'!$B$9,Paramètres!$A$1:$I$89,5,0)</f>
        <v>1.9065282685915009E-13</v>
      </c>
      <c r="P56" s="13">
        <f t="shared" si="33"/>
        <v>2.6568987209435707E-12</v>
      </c>
      <c r="Q56" s="20">
        <f t="shared" si="53"/>
        <v>4.959485612423072E-12</v>
      </c>
      <c r="R56" s="59">
        <f t="shared" si="0"/>
        <v>293.33333333333826</v>
      </c>
      <c r="S56" s="59">
        <f ca="1">AVERAGE(OFFSET($R$3,0,0,'Données projet'!$E$9+1,1))-AVERAGE(OFFSET($H$3,0,0,'Données projet'!$E$9+1,1))</f>
        <v>320.29885421543776</v>
      </c>
      <c r="T56" s="59">
        <f t="shared" si="34"/>
        <v>546.34638548793396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174.39335405788381</v>
      </c>
      <c r="AA56" s="21">
        <f>EXP(-LN(2)/25)*AA55+(1-EXP(-LN(2)/25))/(LN(2)/25)*Calculateur!V56*Calculateur!X56*VLOOKUP('Données projet'!$B$9,Paramètres!$A$1:$I$89,3,0)*0.475*44/12</f>
        <v>55.042565324402908</v>
      </c>
      <c r="AB56" s="21">
        <f>EXP(-LN(2)/2)*AB55+(1-EXP(-LN(2)/2))/(LN(2)/2)*V56*Y56*VLOOKUP('Données projet'!$B$9,Paramètres!$A$1:$I$89,3,0)*0.475*44/12</f>
        <v>2.6872807414579318</v>
      </c>
      <c r="AC56" s="22">
        <f t="shared" si="3"/>
        <v>232.12320012374465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-2.8421709430404007E-14</v>
      </c>
      <c r="AJ56" s="13">
        <f>AI56*VLOOKUP('Données projet'!$B$10,Paramètres!$A$1:$I$89,3,0)*VLOOKUP('Données projet'!$B$10,Paramètres!$A$1:$I$89,5,0)</f>
        <v>-1.7735146684572101E-14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150.88336605939878</v>
      </c>
      <c r="AO56" s="59">
        <f t="shared" si="36"/>
        <v>268.54782308462387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104.1533960531906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9.8655328132459701</v>
      </c>
      <c r="AX56" s="21">
        <f t="shared" si="6"/>
        <v>114.01892886643657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3.4106051316484809E-13</v>
      </c>
      <c r="O57" s="13">
        <f>N57*VLOOKUP('Données projet'!$B$9,Paramètres!$A$1:$I$89,3,0)*VLOOKUP('Données projet'!$B$9,Paramètres!$A$1:$I$89,5,0)</f>
        <v>1.9065282685915009E-13</v>
      </c>
      <c r="P57" s="13">
        <f t="shared" si="33"/>
        <v>2.6568987209435707E-12</v>
      </c>
      <c r="Q57" s="20">
        <f t="shared" si="53"/>
        <v>4.959485612423072E-12</v>
      </c>
      <c r="R57" s="59">
        <f t="shared" si="0"/>
        <v>293.33333333333826</v>
      </c>
      <c r="S57" s="59">
        <f ca="1">AVERAGE(OFFSET($R$3,0,0,'Données projet'!$E$9+1,1))-AVERAGE(OFFSET($H$3,0,0,'Données projet'!$E$9+1,1))</f>
        <v>320.29885421543776</v>
      </c>
      <c r="T57" s="59">
        <f t="shared" si="34"/>
        <v>546.34638548793396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170.97360675425156</v>
      </c>
      <c r="AA57" s="21">
        <f>EXP(-LN(2)/25)*AA56+(1-EXP(-LN(2)/25))/(LN(2)/25)*Calculateur!V57*Calculateur!X57*VLOOKUP('Données projet'!$B$9,Paramètres!$A$1:$I$89,3,0)*0.475*44/12</f>
        <v>53.537423481044399</v>
      </c>
      <c r="AB57" s="21">
        <f>EXP(-LN(2)/2)*AB56+(1-EXP(-LN(2)/2))/(LN(2)/2)*V57*Y57*VLOOKUP('Données projet'!$B$9,Paramètres!$A$1:$I$89,3,0)*0.475*44/12</f>
        <v>1.9001944352369171</v>
      </c>
      <c r="AC57" s="22">
        <f t="shared" si="3"/>
        <v>226.41122467053287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-2.8421709430404007E-14</v>
      </c>
      <c r="AJ57" s="13">
        <f>AI57*VLOOKUP('Données projet'!$B$10,Paramètres!$A$1:$I$89,3,0)*VLOOKUP('Données projet'!$B$10,Paramètres!$A$1:$I$89,5,0)</f>
        <v>-1.7735146684572101E-14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150.88336605939878</v>
      </c>
      <c r="AO57" s="59">
        <f t="shared" si="36"/>
        <v>268.54782308462387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102.11101148388633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6.9759851522646237</v>
      </c>
      <c r="AX57" s="21">
        <f t="shared" si="6"/>
        <v>109.08699663615096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3.4106051316484809E-13</v>
      </c>
      <c r="O58" s="13">
        <f>N58*VLOOKUP('Données projet'!$B$9,Paramètres!$A$1:$I$89,3,0)*VLOOKUP('Données projet'!$B$9,Paramètres!$A$1:$I$89,5,0)</f>
        <v>1.9065282685915009E-13</v>
      </c>
      <c r="P58" s="13">
        <f t="shared" si="33"/>
        <v>2.6568987209435707E-12</v>
      </c>
      <c r="Q58" s="20">
        <f t="shared" si="53"/>
        <v>4.959485612423072E-12</v>
      </c>
      <c r="R58" s="59">
        <f t="shared" si="0"/>
        <v>293.33333333333826</v>
      </c>
      <c r="S58" s="59">
        <f ca="1">AVERAGE(OFFSET($R$3,0,0,'Données projet'!$E$9+1,1))-AVERAGE(OFFSET($H$3,0,0,'Données projet'!$E$9+1,1))</f>
        <v>320.29885421543776</v>
      </c>
      <c r="T58" s="59">
        <f t="shared" si="34"/>
        <v>546.34638548793396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167.62091860940365</v>
      </c>
      <c r="AA58" s="21">
        <f>EXP(-LN(2)/25)*AA57+(1-EXP(-LN(2)/25))/(LN(2)/25)*Calculateur!V58*Calculateur!X58*VLOOKUP('Données projet'!$B$9,Paramètres!$A$1:$I$89,3,0)*0.475*44/12</f>
        <v>52.0734398205445</v>
      </c>
      <c r="AB58" s="21">
        <f>EXP(-LN(2)/2)*AB57+(1-EXP(-LN(2)/2))/(LN(2)/2)*V58*Y58*VLOOKUP('Données projet'!$B$9,Paramètres!$A$1:$I$89,3,0)*0.475*44/12</f>
        <v>1.3436403707289661</v>
      </c>
      <c r="AC58" s="22">
        <f t="shared" si="3"/>
        <v>221.03799880067712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-2.8421709430404007E-14</v>
      </c>
      <c r="AJ58" s="13">
        <f>AI58*VLOOKUP('Données projet'!$B$10,Paramètres!$A$1:$I$89,3,0)*VLOOKUP('Données projet'!$B$10,Paramètres!$A$1:$I$89,5,0)</f>
        <v>-1.7735146684572101E-14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150.88336605939878</v>
      </c>
      <c r="AO58" s="59">
        <f t="shared" si="36"/>
        <v>268.54782308462387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100.10867683025452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4.9327664066229859</v>
      </c>
      <c r="AX58" s="21">
        <f t="shared" si="6"/>
        <v>105.04144323687751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3.4106051316484809E-13</v>
      </c>
      <c r="O59" s="13">
        <f>N59*VLOOKUP('Données projet'!$B$9,Paramètres!$A$1:$I$89,3,0)*VLOOKUP('Données projet'!$B$9,Paramètres!$A$1:$I$89,5,0)</f>
        <v>1.9065282685915009E-13</v>
      </c>
      <c r="P59" s="13">
        <f t="shared" si="33"/>
        <v>2.6568987209435707E-12</v>
      </c>
      <c r="Q59" s="20">
        <f t="shared" si="53"/>
        <v>4.959485612423072E-12</v>
      </c>
      <c r="R59" s="59">
        <f t="shared" si="0"/>
        <v>293.33333333333826</v>
      </c>
      <c r="S59" s="59">
        <f ca="1">AVERAGE(OFFSET($R$3,0,0,'Données projet'!$E$9+1,1))-AVERAGE(OFFSET($H$3,0,0,'Données projet'!$E$9+1,1))</f>
        <v>320.29885421543776</v>
      </c>
      <c r="T59" s="59">
        <f t="shared" si="34"/>
        <v>546.34638548793396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164.33397463413837</v>
      </c>
      <c r="AA59" s="21">
        <f>EXP(-LN(2)/25)*AA58+(1-EXP(-LN(2)/25))/(LN(2)/25)*Calculateur!V59*Calculateur!X59*VLOOKUP('Données projet'!$B$9,Paramètres!$A$1:$I$89,3,0)*0.475*44/12</f>
        <v>50.649488870228524</v>
      </c>
      <c r="AB59" s="21">
        <f>EXP(-LN(2)/2)*AB58+(1-EXP(-LN(2)/2))/(LN(2)/2)*V59*Y59*VLOOKUP('Données projet'!$B$9,Paramètres!$A$1:$I$89,3,0)*0.475*44/12</f>
        <v>0.95009721761845867</v>
      </c>
      <c r="AC59" s="22">
        <f t="shared" si="3"/>
        <v>215.93356072198537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-2.8421709430404007E-14</v>
      </c>
      <c r="AJ59" s="13">
        <f>AI59*VLOOKUP('Données projet'!$B$10,Paramètres!$A$1:$I$89,3,0)*VLOOKUP('Données projet'!$B$10,Paramètres!$A$1:$I$89,5,0)</f>
        <v>-1.7735146684572101E-14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150.88336605939878</v>
      </c>
      <c r="AO59" s="59">
        <f t="shared" si="36"/>
        <v>268.54782308462387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98.145606737876903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3.4879925761323123</v>
      </c>
      <c r="AX59" s="21">
        <f t="shared" si="6"/>
        <v>101.63359931400922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3.4106051316484809E-13</v>
      </c>
      <c r="O60" s="13">
        <f>N60*VLOOKUP('Données projet'!$B$9,Paramètres!$A$1:$I$89,3,0)*VLOOKUP('Données projet'!$B$9,Paramètres!$A$1:$I$89,5,0)</f>
        <v>1.9065282685915009E-13</v>
      </c>
      <c r="P60" s="13">
        <f t="shared" si="33"/>
        <v>2.6568987209435707E-12</v>
      </c>
      <c r="Q60" s="20">
        <f t="shared" si="53"/>
        <v>4.959485612423072E-12</v>
      </c>
      <c r="R60" s="59">
        <f t="shared" si="0"/>
        <v>293.33333333333826</v>
      </c>
      <c r="S60" s="59">
        <f ca="1">AVERAGE(OFFSET($R$3,0,0,'Données projet'!$E$9+1,1))-AVERAGE(OFFSET($H$3,0,0,'Données projet'!$E$9+1,1))</f>
        <v>320.29885421543776</v>
      </c>
      <c r="T60" s="59">
        <f t="shared" si="34"/>
        <v>546.34638548793396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161.11148562539017</v>
      </c>
      <c r="AA60" s="21">
        <f>EXP(-LN(2)/25)*AA59+(1-EXP(-LN(2)/25))/(LN(2)/25)*Calculateur!V60*Calculateur!X60*VLOOKUP('Données projet'!$B$9,Paramètres!$A$1:$I$89,3,0)*0.475*44/12</f>
        <v>49.264475933531266</v>
      </c>
      <c r="AB60" s="21">
        <f>EXP(-LN(2)/2)*AB59+(1-EXP(-LN(2)/2))/(LN(2)/2)*V60*Y60*VLOOKUP('Données projet'!$B$9,Paramètres!$A$1:$I$89,3,0)*0.475*44/12</f>
        <v>0.67182018536448307</v>
      </c>
      <c r="AC60" s="22">
        <f t="shared" si="3"/>
        <v>211.04778174428591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-2.8421709430404007E-14</v>
      </c>
      <c r="AJ60" s="13">
        <f>AI60*VLOOKUP('Données projet'!$B$10,Paramètres!$A$1:$I$89,3,0)*VLOOKUP('Données projet'!$B$10,Paramètres!$A$1:$I$89,5,0)</f>
        <v>-1.7735146684572101E-14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150.88336605939878</v>
      </c>
      <c r="AO60" s="59">
        <f t="shared" si="36"/>
        <v>268.54782308462387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96.221031252656275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2.4663832033114934</v>
      </c>
      <c r="AX60" s="21">
        <f t="shared" si="6"/>
        <v>98.687414455967769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3.4106051316484809E-13</v>
      </c>
      <c r="O61" s="13">
        <f>N61*VLOOKUP('Données projet'!$B$9,Paramètres!$A$1:$I$89,3,0)*VLOOKUP('Données projet'!$B$9,Paramètres!$A$1:$I$89,5,0)</f>
        <v>1.9065282685915009E-13</v>
      </c>
      <c r="P61" s="13">
        <f t="shared" si="33"/>
        <v>2.6568987209435707E-12</v>
      </c>
      <c r="Q61" s="20">
        <f t="shared" si="53"/>
        <v>4.959485612423072E-12</v>
      </c>
      <c r="R61" s="59">
        <f t="shared" si="0"/>
        <v>293.33333333333826</v>
      </c>
      <c r="S61" s="59">
        <f ca="1">AVERAGE(OFFSET($R$3,0,0,'Données projet'!$E$9+1,1))-AVERAGE(OFFSET($H$3,0,0,'Données projet'!$E$9+1,1))</f>
        <v>320.29885421543776</v>
      </c>
      <c r="T61" s="59">
        <f t="shared" si="34"/>
        <v>546.34638548793396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157.95218766057931</v>
      </c>
      <c r="AA61" s="21">
        <f>EXP(-LN(2)/25)*AA60+(1-EXP(-LN(2)/25))/(LN(2)/25)*Calculateur!V61*Calculateur!X61*VLOOKUP('Données projet'!$B$9,Paramètres!$A$1:$I$89,3,0)*0.475*44/12</f>
        <v>47.917336248422657</v>
      </c>
      <c r="AB61" s="21">
        <f>EXP(-LN(2)/2)*AB60+(1-EXP(-LN(2)/2))/(LN(2)/2)*V61*Y61*VLOOKUP('Données projet'!$B$9,Paramètres!$A$1:$I$89,3,0)*0.475*44/12</f>
        <v>0.47504860880922933</v>
      </c>
      <c r="AC61" s="22">
        <f t="shared" si="3"/>
        <v>206.3445725178112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-2.8421709430404007E-14</v>
      </c>
      <c r="AJ61" s="13">
        <f>AI61*VLOOKUP('Données projet'!$B$10,Paramètres!$A$1:$I$89,3,0)*VLOOKUP('Données projet'!$B$10,Paramètres!$A$1:$I$89,5,0)</f>
        <v>-1.7735146684572101E-14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150.88336605939878</v>
      </c>
      <c r="AO61" s="59">
        <f t="shared" si="36"/>
        <v>268.54782308462387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94.334195518825695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1.7439962880661564</v>
      </c>
      <c r="AX61" s="21">
        <f t="shared" si="6"/>
        <v>96.078191806891851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3.4106051316484809E-13</v>
      </c>
      <c r="O62" s="13">
        <f>N62*VLOOKUP('Données projet'!$B$9,Paramètres!$A$1:$I$89,3,0)*VLOOKUP('Données projet'!$B$9,Paramètres!$A$1:$I$89,5,0)</f>
        <v>1.9065282685915009E-13</v>
      </c>
      <c r="P62" s="13">
        <f t="shared" si="33"/>
        <v>2.6568987209435707E-12</v>
      </c>
      <c r="Q62" s="20">
        <f t="shared" si="53"/>
        <v>4.959485612423072E-12</v>
      </c>
      <c r="R62" s="59">
        <f t="shared" si="0"/>
        <v>293.33333333333826</v>
      </c>
      <c r="S62" s="59">
        <f ca="1">AVERAGE(OFFSET($R$3,0,0,'Données projet'!$E$9+1,1))-AVERAGE(OFFSET($H$3,0,0,'Données projet'!$E$9+1,1))</f>
        <v>320.29885421543776</v>
      </c>
      <c r="T62" s="59">
        <f t="shared" si="34"/>
        <v>546.34638548793396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154.8548416018769</v>
      </c>
      <c r="AA62" s="21">
        <f>EXP(-LN(2)/25)*AA61+(1-EXP(-LN(2)/25))/(LN(2)/25)*Calculateur!V62*Calculateur!X62*VLOOKUP('Données projet'!$B$9,Paramètres!$A$1:$I$89,3,0)*0.475*44/12</f>
        <v>46.60703416884634</v>
      </c>
      <c r="AB62" s="21">
        <f>EXP(-LN(2)/2)*AB61+(1-EXP(-LN(2)/2))/(LN(2)/2)*V62*Y62*VLOOKUP('Données projet'!$B$9,Paramètres!$A$1:$I$89,3,0)*0.475*44/12</f>
        <v>0.33591009268224153</v>
      </c>
      <c r="AC62" s="22">
        <f t="shared" si="3"/>
        <v>201.79778586340547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-2.8421709430404007E-14</v>
      </c>
      <c r="AJ62" s="13">
        <f>AI62*VLOOKUP('Données projet'!$B$10,Paramètres!$A$1:$I$89,3,0)*VLOOKUP('Données projet'!$B$10,Paramètres!$A$1:$I$89,5,0)</f>
        <v>-1.7735146684572101E-14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150.88336605939878</v>
      </c>
      <c r="AO62" s="59">
        <f t="shared" si="36"/>
        <v>268.54782308462387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92.48435948287937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1.2331916016557467</v>
      </c>
      <c r="AX62" s="21">
        <f t="shared" si="6"/>
        <v>93.717551084535117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3.4106051316484809E-13</v>
      </c>
      <c r="O63" s="13">
        <f>N63*VLOOKUP('Données projet'!$B$9,Paramètres!$A$1:$I$89,3,0)*VLOOKUP('Données projet'!$B$9,Paramètres!$A$1:$I$89,5,0)</f>
        <v>1.9065282685915009E-13</v>
      </c>
      <c r="P63" s="13">
        <f t="shared" si="33"/>
        <v>2.6568987209435707E-12</v>
      </c>
      <c r="Q63" s="20">
        <f t="shared" si="53"/>
        <v>4.959485612423072E-12</v>
      </c>
      <c r="R63" s="59">
        <f t="shared" si="0"/>
        <v>293.33333333333826</v>
      </c>
      <c r="S63" s="59">
        <f ca="1">AVERAGE(OFFSET($R$3,0,0,'Données projet'!$E$9+1,1))-AVERAGE(OFFSET($H$3,0,0,'Données projet'!$E$9+1,1))</f>
        <v>320.29885421543776</v>
      </c>
      <c r="T63" s="59">
        <f t="shared" si="34"/>
        <v>546.34638548793396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151.8182326101911</v>
      </c>
      <c r="AA63" s="21">
        <f>EXP(-LN(2)/25)*AA62+(1-EXP(-LN(2)/25))/(LN(2)/25)*Calculateur!V63*Calculateur!X63*VLOOKUP('Données projet'!$B$9,Paramètres!$A$1:$I$89,3,0)*0.475*44/12</f>
        <v>45.332562368541829</v>
      </c>
      <c r="AB63" s="21">
        <f>EXP(-LN(2)/2)*AB62+(1-EXP(-LN(2)/2))/(LN(2)/2)*V63*Y63*VLOOKUP('Données projet'!$B$9,Paramètres!$A$1:$I$89,3,0)*0.475*44/12</f>
        <v>0.23752430440461467</v>
      </c>
      <c r="AC63" s="22">
        <f t="shared" si="3"/>
        <v>197.38831928313755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-2.8421709430404007E-14</v>
      </c>
      <c r="AJ63" s="13">
        <f>AI63*VLOOKUP('Données projet'!$B$10,Paramètres!$A$1:$I$89,3,0)*VLOOKUP('Données projet'!$B$10,Paramètres!$A$1:$I$89,5,0)</f>
        <v>-1.7735146684572101E-14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150.88336605939878</v>
      </c>
      <c r="AO63" s="59">
        <f t="shared" si="36"/>
        <v>268.54782308462387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90.670797603309381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0.87199814403307818</v>
      </c>
      <c r="AX63" s="21">
        <f t="shared" si="6"/>
        <v>91.542795747342453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3.4106051316484809E-13</v>
      </c>
      <c r="O64" s="13">
        <f>N64*VLOOKUP('Données projet'!$B$9,Paramètres!$A$1:$I$89,3,0)*VLOOKUP('Données projet'!$B$9,Paramètres!$A$1:$I$89,5,0)</f>
        <v>1.9065282685915009E-13</v>
      </c>
      <c r="P64" s="13">
        <f t="shared" si="33"/>
        <v>2.6568987209435707E-12</v>
      </c>
      <c r="Q64" s="20">
        <f t="shared" si="53"/>
        <v>4.959485612423072E-12</v>
      </c>
      <c r="R64" s="59">
        <f t="shared" si="0"/>
        <v>293.33333333333826</v>
      </c>
      <c r="S64" s="59">
        <f ca="1">AVERAGE(OFFSET($R$3,0,0,'Données projet'!$E$9+1,1))-AVERAGE(OFFSET($H$3,0,0,'Données projet'!$E$9+1,1))</f>
        <v>320.29885421543776</v>
      </c>
      <c r="T64" s="59">
        <f t="shared" si="34"/>
        <v>546.34638548793396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148.84116966868365</v>
      </c>
      <c r="AA64" s="21">
        <f>EXP(-LN(2)/25)*AA63+(1-EXP(-LN(2)/25))/(LN(2)/25)*Calculateur!V64*Calculateur!X64*VLOOKUP('Données projet'!$B$9,Paramètres!$A$1:$I$89,3,0)*0.475*44/12</f>
        <v>44.092941066638204</v>
      </c>
      <c r="AB64" s="21">
        <f>EXP(-LN(2)/2)*AB63+(1-EXP(-LN(2)/2))/(LN(2)/2)*V64*Y64*VLOOKUP('Données projet'!$B$9,Paramètres!$A$1:$I$89,3,0)*0.475*44/12</f>
        <v>0.16795504634112077</v>
      </c>
      <c r="AC64" s="22">
        <f t="shared" si="3"/>
        <v>193.10206578166296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-2.8421709430404007E-14</v>
      </c>
      <c r="AJ64" s="13">
        <f>AI64*VLOOKUP('Données projet'!$B$10,Paramètres!$A$1:$I$89,3,0)*VLOOKUP('Données projet'!$B$10,Paramètres!$A$1:$I$89,5,0)</f>
        <v>-1.7735146684572101E-14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150.88336605939878</v>
      </c>
      <c r="AO64" s="59">
        <f t="shared" si="36"/>
        <v>268.54782308462387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88.89279856603423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0.61659580082787335</v>
      </c>
      <c r="AX64" s="21">
        <f t="shared" si="6"/>
        <v>89.509394366862097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3.4106051316484809E-13</v>
      </c>
      <c r="O65" s="13">
        <f>N65*VLOOKUP('Données projet'!$B$9,Paramètres!$A$1:$I$89,3,0)*VLOOKUP('Données projet'!$B$9,Paramètres!$A$1:$I$89,5,0)</f>
        <v>1.9065282685915009E-13</v>
      </c>
      <c r="P65" s="13">
        <f t="shared" si="33"/>
        <v>2.6568987209435707E-12</v>
      </c>
      <c r="Q65" s="20">
        <f t="shared" si="53"/>
        <v>4.959485612423072E-12</v>
      </c>
      <c r="R65" s="59">
        <f t="shared" si="0"/>
        <v>293.33333333333826</v>
      </c>
      <c r="S65" s="59">
        <f ca="1">AVERAGE(OFFSET($R$3,0,0,'Données projet'!$E$9+1,1))-AVERAGE(OFFSET($H$3,0,0,'Données projet'!$E$9+1,1))</f>
        <v>320.29885421543776</v>
      </c>
      <c r="T65" s="59">
        <f t="shared" si="34"/>
        <v>546.34638548793396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145.92248511563008</v>
      </c>
      <c r="AA65" s="21">
        <f>EXP(-LN(2)/25)*AA64+(1-EXP(-LN(2)/25))/(LN(2)/25)*Calculateur!V65*Calculateur!X65*VLOOKUP('Données projet'!$B$9,Paramètres!$A$1:$I$89,3,0)*0.475*44/12</f>
        <v>42.887217274423989</v>
      </c>
      <c r="AB65" s="21">
        <f>EXP(-LN(2)/2)*AB64+(1-EXP(-LN(2)/2))/(LN(2)/2)*V65*Y65*VLOOKUP('Données projet'!$B$9,Paramètres!$A$1:$I$89,3,0)*0.475*44/12</f>
        <v>0.11876215220230733</v>
      </c>
      <c r="AC65" s="22">
        <f t="shared" si="3"/>
        <v>188.92846454225636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-2.8421709430404007E-14</v>
      </c>
      <c r="AJ65" s="13">
        <f>AI65*VLOOKUP('Données projet'!$B$10,Paramètres!$A$1:$I$89,3,0)*VLOOKUP('Données projet'!$B$10,Paramètres!$A$1:$I$89,5,0)</f>
        <v>-1.7735146684572101E-14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150.88336605939878</v>
      </c>
      <c r="AO65" s="59">
        <f t="shared" si="36"/>
        <v>268.54782308462387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87.149665005407712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0.43599907201653909</v>
      </c>
      <c r="AX65" s="21">
        <f t="shared" si="6"/>
        <v>87.585664077424255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3.4106051316484809E-13</v>
      </c>
      <c r="O66" s="13">
        <f>N66*VLOOKUP('Données projet'!$B$9,Paramètres!$A$1:$I$89,3,0)*VLOOKUP('Données projet'!$B$9,Paramètres!$A$1:$I$89,5,0)</f>
        <v>1.9065282685915009E-13</v>
      </c>
      <c r="P66" s="13">
        <f t="shared" si="33"/>
        <v>2.6568987209435707E-12</v>
      </c>
      <c r="Q66" s="20">
        <f t="shared" si="53"/>
        <v>4.959485612423072E-12</v>
      </c>
      <c r="R66" s="59">
        <f t="shared" si="0"/>
        <v>293.33333333333826</v>
      </c>
      <c r="S66" s="59">
        <f ca="1">AVERAGE(OFFSET($R$3,0,0,'Données projet'!$E$9+1,1))-AVERAGE(OFFSET($H$3,0,0,'Données projet'!$E$9+1,1))</f>
        <v>320.29885421543776</v>
      </c>
      <c r="T66" s="59">
        <f t="shared" si="34"/>
        <v>546.34638548793396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143.06103418644008</v>
      </c>
      <c r="AA66" s="21">
        <f>EXP(-LN(2)/25)*AA65+(1-EXP(-LN(2)/25))/(LN(2)/25)*Calculateur!V66*Calculateur!X66*VLOOKUP('Données projet'!$B$9,Paramètres!$A$1:$I$89,3,0)*0.475*44/12</f>
        <v>41.714464062714129</v>
      </c>
      <c r="AB66" s="21">
        <f>EXP(-LN(2)/2)*AB65+(1-EXP(-LN(2)/2))/(LN(2)/2)*V66*Y66*VLOOKUP('Données projet'!$B$9,Paramètres!$A$1:$I$89,3,0)*0.475*44/12</f>
        <v>8.3977523170560384E-2</v>
      </c>
      <c r="AC66" s="22">
        <f t="shared" si="3"/>
        <v>184.8594757723248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-2.8421709430404007E-14</v>
      </c>
      <c r="AJ66" s="13">
        <f>AI66*VLOOKUP('Données projet'!$B$10,Paramètres!$A$1:$I$89,3,0)*VLOOKUP('Données projet'!$B$10,Paramètres!$A$1:$I$89,5,0)</f>
        <v>-1.7735146684572101E-14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150.88336605939878</v>
      </c>
      <c r="AO66" s="59">
        <f t="shared" si="36"/>
        <v>268.54782308462387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85.440713230698591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0.30829790041393668</v>
      </c>
      <c r="AX66" s="21">
        <f t="shared" si="6"/>
        <v>85.749011131112525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3.4106051316484809E-13</v>
      </c>
      <c r="O67" s="13">
        <f>N67*VLOOKUP('Données projet'!$B$9,Paramètres!$A$1:$I$89,3,0)*VLOOKUP('Données projet'!$B$9,Paramètres!$A$1:$I$89,5,0)</f>
        <v>1.9065282685915009E-13</v>
      </c>
      <c r="P67" s="13">
        <f t="shared" si="33"/>
        <v>2.6568987209435707E-12</v>
      </c>
      <c r="Q67" s="20">
        <f t="shared" ref="Q67:Q98" si="54">(O67+P67)*0.475*44/12</f>
        <v>4.959485612423072E-12</v>
      </c>
      <c r="R67" s="59">
        <f t="shared" ref="R67:R130" si="55">Q67+(I67+J67)*44/12</f>
        <v>293.33333333333826</v>
      </c>
      <c r="S67" s="59">
        <f ca="1">AVERAGE(OFFSET($R$3,0,0,'Données projet'!$E$9+1,1))-AVERAGE(OFFSET($H$3,0,0,'Données projet'!$E$9+1,1))</f>
        <v>320.29885421543776</v>
      </c>
      <c r="T67" s="59">
        <f t="shared" si="34"/>
        <v>546.34638548793396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140.25569456465877</v>
      </c>
      <c r="AA67" s="21">
        <f>EXP(-LN(2)/25)*AA66+(1-EXP(-LN(2)/25))/(LN(2)/25)*Calculateur!V67*Calculateur!X67*VLOOKUP('Données projet'!$B$9,Paramètres!$A$1:$I$89,3,0)*0.475*44/12</f>
        <v>40.573779849250883</v>
      </c>
      <c r="AB67" s="21">
        <f>EXP(-LN(2)/2)*AB66+(1-EXP(-LN(2)/2))/(LN(2)/2)*V67*Y67*VLOOKUP('Données projet'!$B$9,Paramètres!$A$1:$I$89,3,0)*0.475*44/12</f>
        <v>5.9381076101153667E-2</v>
      </c>
      <c r="AC67" s="22">
        <f t="shared" si="3"/>
        <v>180.8888554900108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-2.8421709430404007E-14</v>
      </c>
      <c r="AJ67" s="13">
        <f>AI67*VLOOKUP('Données projet'!$B$10,Paramètres!$A$1:$I$89,3,0)*VLOOKUP('Données projet'!$B$10,Paramètres!$A$1:$I$89,5,0)</f>
        <v>-1.7735146684572101E-14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150.88336605939878</v>
      </c>
      <c r="AO67" s="59">
        <f t="shared" si="36"/>
        <v>268.54782308462387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83.76527295793386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0.21799953600826955</v>
      </c>
      <c r="AX67" s="21">
        <f t="shared" si="6"/>
        <v>83.983272493942124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3.4106051316484809E-13</v>
      </c>
      <c r="O68" s="13">
        <f>N68*VLOOKUP('Données projet'!$B$9,Paramètres!$A$1:$I$89,3,0)*VLOOKUP('Données projet'!$B$9,Paramètres!$A$1:$I$89,5,0)</f>
        <v>1.9065282685915009E-13</v>
      </c>
      <c r="P68" s="13">
        <f t="shared" si="33"/>
        <v>2.6568987209435707E-12</v>
      </c>
      <c r="Q68" s="20">
        <f t="shared" si="54"/>
        <v>4.959485612423072E-12</v>
      </c>
      <c r="R68" s="59">
        <f t="shared" si="55"/>
        <v>293.33333333333826</v>
      </c>
      <c r="S68" s="59">
        <f ca="1">AVERAGE(OFFSET($R$3,0,0,'Données projet'!$E$9+1,1))-AVERAGE(OFFSET($H$3,0,0,'Données projet'!$E$9+1,1))</f>
        <v>320.29885421543776</v>
      </c>
      <c r="T68" s="59">
        <f t="shared" si="34"/>
        <v>546.34638548793396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137.50536594177237</v>
      </c>
      <c r="AA68" s="21">
        <f>EXP(-LN(2)/25)*AA67+(1-EXP(-LN(2)/25))/(LN(2)/25)*Calculateur!V68*Calculateur!X68*VLOOKUP('Données projet'!$B$9,Paramètres!$A$1:$I$89,3,0)*0.475*44/12</f>
        <v>39.46428770559077</v>
      </c>
      <c r="AB68" s="21">
        <f>EXP(-LN(2)/2)*AB67+(1-EXP(-LN(2)/2))/(LN(2)/2)*V68*Y68*VLOOKUP('Données projet'!$B$9,Paramètres!$A$1:$I$89,3,0)*0.475*44/12</f>
        <v>4.1988761585280192E-2</v>
      </c>
      <c r="AC68" s="22">
        <f t="shared" ref="AC68:AC131" si="57">SUM(Z68:AB68)</f>
        <v>177.01164240894843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-2.8421709430404007E-14</v>
      </c>
      <c r="AJ68" s="13">
        <f>AI68*VLOOKUP('Données projet'!$B$10,Paramètres!$A$1:$I$89,3,0)*VLOOKUP('Données projet'!$B$10,Paramètres!$A$1:$I$89,5,0)</f>
        <v>-1.7735146684572101E-14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150.88336605939878</v>
      </c>
      <c r="AO68" s="59">
        <f t="shared" si="36"/>
        <v>268.54782308462387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82.122687047000383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0.15414895020696834</v>
      </c>
      <c r="AX68" s="21">
        <f t="shared" ref="AX68:AX131" si="60">SUM(AU68:AW68)</f>
        <v>82.276835997207357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3.4106051316484809E-13</v>
      </c>
      <c r="O69" s="13">
        <f>N69*VLOOKUP('Données projet'!$B$9,Paramètres!$A$1:$I$89,3,0)*VLOOKUP('Données projet'!$B$9,Paramètres!$A$1:$I$89,5,0)</f>
        <v>1.9065282685915009E-13</v>
      </c>
      <c r="P69" s="13">
        <f t="shared" ref="P69:P132" si="87">EXP(-1.0587+0.8836*LN(O69)+0.284)</f>
        <v>2.6568987209435707E-12</v>
      </c>
      <c r="Q69" s="20">
        <f t="shared" si="54"/>
        <v>4.959485612423072E-12</v>
      </c>
      <c r="R69" s="59">
        <f t="shared" si="55"/>
        <v>293.33333333333826</v>
      </c>
      <c r="S69" s="59">
        <f ca="1">AVERAGE(OFFSET($R$3,0,0,'Données projet'!$E$9+1,1))-AVERAGE(OFFSET($H$3,0,0,'Données projet'!$E$9+1,1))</f>
        <v>320.29885421543776</v>
      </c>
      <c r="T69" s="59">
        <f t="shared" ref="T69:T132" si="88">$T$3</f>
        <v>546.34638548793396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134.80896958564597</v>
      </c>
      <c r="AA69" s="21">
        <f>EXP(-LN(2)/25)*AA68+(1-EXP(-LN(2)/25))/(LN(2)/25)*Calculateur!V69*Calculateur!X69*VLOOKUP('Données projet'!$B$9,Paramètres!$A$1:$I$89,3,0)*0.475*44/12</f>
        <v>38.385134682944695</v>
      </c>
      <c r="AB69" s="21">
        <f>EXP(-LN(2)/2)*AB68+(1-EXP(-LN(2)/2))/(LN(2)/2)*V69*Y69*VLOOKUP('Données projet'!$B$9,Paramètres!$A$1:$I$89,3,0)*0.475*44/12</f>
        <v>2.9690538050576833E-2</v>
      </c>
      <c r="AC69" s="22">
        <f t="shared" si="57"/>
        <v>173.22379480664122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-2.8421709430404007E-14</v>
      </c>
      <c r="AJ69" s="13">
        <f>AI69*VLOOKUP('Données projet'!$B$10,Paramètres!$A$1:$I$89,3,0)*VLOOKUP('Données projet'!$B$10,Paramètres!$A$1:$I$89,5,0)</f>
        <v>-1.7735146684572101E-14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150.88336605939878</v>
      </c>
      <c r="AO69" s="59">
        <f t="shared" ref="AO69:AO132" si="90">$AO$3</f>
        <v>268.54782308462387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80.512311243901834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0.10899976800413477</v>
      </c>
      <c r="AX69" s="21">
        <f t="shared" si="60"/>
        <v>80.621311011905973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3.4106051316484809E-13</v>
      </c>
      <c r="O70" s="13">
        <f>N70*VLOOKUP('Données projet'!$B$9,Paramètres!$A$1:$I$89,3,0)*VLOOKUP('Données projet'!$B$9,Paramètres!$A$1:$I$89,5,0)</f>
        <v>1.9065282685915009E-13</v>
      </c>
      <c r="P70" s="13">
        <f t="shared" si="87"/>
        <v>2.6568987209435707E-12</v>
      </c>
      <c r="Q70" s="20">
        <f t="shared" si="54"/>
        <v>4.959485612423072E-12</v>
      </c>
      <c r="R70" s="59">
        <f t="shared" si="55"/>
        <v>293.33333333333826</v>
      </c>
      <c r="S70" s="59">
        <f ca="1">AVERAGE(OFFSET($R$3,0,0,'Données projet'!$E$9+1,1))-AVERAGE(OFFSET($H$3,0,0,'Données projet'!$E$9+1,1))</f>
        <v>320.29885421543776</v>
      </c>
      <c r="T70" s="59">
        <f t="shared" si="88"/>
        <v>546.34638548793396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132.16544791742382</v>
      </c>
      <c r="AA70" s="21">
        <f>EXP(-LN(2)/25)*AA69+(1-EXP(-LN(2)/25))/(LN(2)/25)*Calculateur!V70*Calculateur!X70*VLOOKUP('Données projet'!$B$9,Paramètres!$A$1:$I$89,3,0)*0.475*44/12</f>
        <v>37.335491156453067</v>
      </c>
      <c r="AB70" s="21">
        <f>EXP(-LN(2)/2)*AB69+(1-EXP(-LN(2)/2))/(LN(2)/2)*V70*Y70*VLOOKUP('Données projet'!$B$9,Paramètres!$A$1:$I$89,3,0)*0.475*44/12</f>
        <v>2.0994380792640096E-2</v>
      </c>
      <c r="AC70" s="22">
        <f t="shared" si="57"/>
        <v>169.52193345466952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-2.8421709430404007E-14</v>
      </c>
      <c r="AJ70" s="13">
        <f>AI70*VLOOKUP('Données projet'!$B$10,Paramètres!$A$1:$I$89,3,0)*VLOOKUP('Données projet'!$B$10,Paramètres!$A$1:$I$89,5,0)</f>
        <v>-1.7735146684572101E-14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150.88336605939878</v>
      </c>
      <c r="AO70" s="59">
        <f t="shared" si="90"/>
        <v>268.54782308462387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78.9335139280698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7.7074475103484169E-2</v>
      </c>
      <c r="AX70" s="21">
        <f t="shared" si="60"/>
        <v>79.010588403173287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3.4106051316484809E-13</v>
      </c>
      <c r="O71" s="13">
        <f>N71*VLOOKUP('Données projet'!$B$9,Paramètres!$A$1:$I$89,3,0)*VLOOKUP('Données projet'!$B$9,Paramètres!$A$1:$I$89,5,0)</f>
        <v>1.9065282685915009E-13</v>
      </c>
      <c r="P71" s="13">
        <f t="shared" si="87"/>
        <v>2.6568987209435707E-12</v>
      </c>
      <c r="Q71" s="20">
        <f t="shared" si="54"/>
        <v>4.959485612423072E-12</v>
      </c>
      <c r="R71" s="59">
        <f t="shared" si="55"/>
        <v>293.33333333333826</v>
      </c>
      <c r="S71" s="59">
        <f ca="1">AVERAGE(OFFSET($R$3,0,0,'Données projet'!$E$9+1,1))-AVERAGE(OFFSET($H$3,0,0,'Données projet'!$E$9+1,1))</f>
        <v>320.29885421543776</v>
      </c>
      <c r="T71" s="59">
        <f t="shared" si="88"/>
        <v>546.34638548793396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129.57376409672651</v>
      </c>
      <c r="AA71" s="21">
        <f>EXP(-LN(2)/25)*AA70+(1-EXP(-LN(2)/25))/(LN(2)/25)*Calculateur!V71*Calculateur!X71*VLOOKUP('Données projet'!$B$9,Paramètres!$A$1:$I$89,3,0)*0.475*44/12</f>
        <v>36.31455018739171</v>
      </c>
      <c r="AB71" s="21">
        <f>EXP(-LN(2)/2)*AB70+(1-EXP(-LN(2)/2))/(LN(2)/2)*V71*Y71*VLOOKUP('Données projet'!$B$9,Paramètres!$A$1:$I$89,3,0)*0.475*44/12</f>
        <v>1.4845269025288417E-2</v>
      </c>
      <c r="AC71" s="22">
        <f t="shared" si="57"/>
        <v>165.90315955314352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-2.8421709430404007E-14</v>
      </c>
      <c r="AJ71" s="13">
        <f>AI71*VLOOKUP('Données projet'!$B$10,Paramètres!$A$1:$I$89,3,0)*VLOOKUP('Données projet'!$B$10,Paramètres!$A$1:$I$89,5,0)</f>
        <v>-1.7735146684572101E-14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150.88336605939878</v>
      </c>
      <c r="AO71" s="59">
        <f t="shared" si="90"/>
        <v>268.54782308462387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77.38567586462996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5.4499884002067386E-2</v>
      </c>
      <c r="AX71" s="21">
        <f t="shared" si="60"/>
        <v>77.440175748632029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3.4106051316484809E-13</v>
      </c>
      <c r="O72" s="13">
        <f>N72*VLOOKUP('Données projet'!$B$9,Paramètres!$A$1:$I$89,3,0)*VLOOKUP('Données projet'!$B$9,Paramètres!$A$1:$I$89,5,0)</f>
        <v>1.9065282685915009E-13</v>
      </c>
      <c r="P72" s="13">
        <f t="shared" si="87"/>
        <v>2.6568987209435707E-12</v>
      </c>
      <c r="Q72" s="20">
        <f t="shared" si="54"/>
        <v>4.959485612423072E-12</v>
      </c>
      <c r="R72" s="59">
        <f t="shared" si="55"/>
        <v>293.33333333333826</v>
      </c>
      <c r="S72" s="59">
        <f ca="1">AVERAGE(OFFSET($R$3,0,0,'Données projet'!$E$9+1,1))-AVERAGE(OFFSET($H$3,0,0,'Données projet'!$E$9+1,1))</f>
        <v>320.29885421543776</v>
      </c>
      <c r="T72" s="59">
        <f t="shared" si="88"/>
        <v>546.34638548793396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127.03290161498202</v>
      </c>
      <c r="AA72" s="21">
        <f>EXP(-LN(2)/25)*AA71+(1-EXP(-LN(2)/25))/(LN(2)/25)*Calculateur!V72*Calculateur!X72*VLOOKUP('Données projet'!$B$9,Paramètres!$A$1:$I$89,3,0)*0.475*44/12</f>
        <v>35.321526902818285</v>
      </c>
      <c r="AB72" s="21">
        <f>EXP(-LN(2)/2)*AB71+(1-EXP(-LN(2)/2))/(LN(2)/2)*V72*Y72*VLOOKUP('Données projet'!$B$9,Paramètres!$A$1:$I$89,3,0)*0.475*44/12</f>
        <v>1.0497190396320048E-2</v>
      </c>
      <c r="AC72" s="22">
        <f t="shared" si="57"/>
        <v>162.36492570819661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-2.8421709430404007E-14</v>
      </c>
      <c r="AJ72" s="13">
        <f>AI72*VLOOKUP('Données projet'!$B$10,Paramètres!$A$1:$I$89,3,0)*VLOOKUP('Données projet'!$B$10,Paramètres!$A$1:$I$89,5,0)</f>
        <v>-1.7735146684572101E-14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150.88336605939878</v>
      </c>
      <c r="AO72" s="59">
        <f t="shared" si="90"/>
        <v>268.54782308462387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75.86818996152617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3.8537237551742085E-2</v>
      </c>
      <c r="AX72" s="21">
        <f t="shared" si="60"/>
        <v>75.906727199077906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3.4106051316484809E-13</v>
      </c>
      <c r="O73" s="13">
        <f>N73*VLOOKUP('Données projet'!$B$9,Paramètres!$A$1:$I$89,3,0)*VLOOKUP('Données projet'!$B$9,Paramètres!$A$1:$I$89,5,0)</f>
        <v>1.9065282685915009E-13</v>
      </c>
      <c r="P73" s="13">
        <f t="shared" si="87"/>
        <v>2.6568987209435707E-12</v>
      </c>
      <c r="Q73" s="20">
        <f t="shared" si="54"/>
        <v>4.959485612423072E-12</v>
      </c>
      <c r="R73" s="59">
        <f t="shared" si="55"/>
        <v>293.33333333333826</v>
      </c>
      <c r="S73" s="59">
        <f ca="1">AVERAGE(OFFSET($R$3,0,0,'Données projet'!$E$9+1,1))-AVERAGE(OFFSET($H$3,0,0,'Données projet'!$E$9+1,1))</f>
        <v>320.29885421543776</v>
      </c>
      <c r="T73" s="59">
        <f t="shared" si="88"/>
        <v>546.34638548793396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124.54186389673146</v>
      </c>
      <c r="AA73" s="21">
        <f>EXP(-LN(2)/25)*AA72+(1-EXP(-LN(2)/25))/(LN(2)/25)*Calculateur!V73*Calculateur!X73*VLOOKUP('Données projet'!$B$9,Paramètres!$A$1:$I$89,3,0)*0.475*44/12</f>
        <v>34.35565789218235</v>
      </c>
      <c r="AB73" s="21">
        <f>EXP(-LN(2)/2)*AB72+(1-EXP(-LN(2)/2))/(LN(2)/2)*V73*Y73*VLOOKUP('Données projet'!$B$9,Paramètres!$A$1:$I$89,3,0)*0.475*44/12</f>
        <v>7.4226345126442083E-3</v>
      </c>
      <c r="AC73" s="22">
        <f t="shared" si="57"/>
        <v>158.90494442342646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-2.8421709430404007E-14</v>
      </c>
      <c r="AJ73" s="13">
        <f>AI73*VLOOKUP('Données projet'!$B$10,Paramètres!$A$1:$I$89,3,0)*VLOOKUP('Données projet'!$B$10,Paramètres!$A$1:$I$89,5,0)</f>
        <v>-1.7735146684572101E-14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150.88336605939878</v>
      </c>
      <c r="AO73" s="59">
        <f t="shared" si="90"/>
        <v>268.54782308462387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74.380461031407236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2.7249942001033693E-2</v>
      </c>
      <c r="AX73" s="21">
        <f t="shared" si="60"/>
        <v>74.407710973408271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3.4106051316484809E-13</v>
      </c>
      <c r="O74" s="13">
        <f>N74*VLOOKUP('Données projet'!$B$9,Paramètres!$A$1:$I$89,3,0)*VLOOKUP('Données projet'!$B$9,Paramètres!$A$1:$I$89,5,0)</f>
        <v>1.9065282685915009E-13</v>
      </c>
      <c r="P74" s="13">
        <f t="shared" si="87"/>
        <v>2.6568987209435707E-12</v>
      </c>
      <c r="Q74" s="20">
        <f t="shared" si="54"/>
        <v>4.959485612423072E-12</v>
      </c>
      <c r="R74" s="59">
        <f t="shared" si="55"/>
        <v>293.33333333333826</v>
      </c>
      <c r="S74" s="59">
        <f ca="1">AVERAGE(OFFSET($R$3,0,0,'Données projet'!$E$9+1,1))-AVERAGE(OFFSET($H$3,0,0,'Données projet'!$E$9+1,1))</f>
        <v>320.29885421543776</v>
      </c>
      <c r="T74" s="59">
        <f t="shared" si="88"/>
        <v>546.34638548793396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122.09967390875281</v>
      </c>
      <c r="AA74" s="21">
        <f>EXP(-LN(2)/25)*AA73+(1-EXP(-LN(2)/25))/(LN(2)/25)*Calculateur!V74*Calculateur!X74*VLOOKUP('Données projet'!$B$9,Paramètres!$A$1:$I$89,3,0)*0.475*44/12</f>
        <v>33.416200620435099</v>
      </c>
      <c r="AB74" s="21">
        <f>EXP(-LN(2)/2)*AB73+(1-EXP(-LN(2)/2))/(LN(2)/2)*V74*Y74*VLOOKUP('Données projet'!$B$9,Paramètres!$A$1:$I$89,3,0)*0.475*44/12</f>
        <v>5.248595198160024E-3</v>
      </c>
      <c r="AC74" s="22">
        <f t="shared" si="57"/>
        <v>155.52112312438607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-2.8421709430404007E-14</v>
      </c>
      <c r="AJ74" s="13">
        <f>AI74*VLOOKUP('Données projet'!$B$10,Paramètres!$A$1:$I$89,3,0)*VLOOKUP('Données projet'!$B$10,Paramètres!$A$1:$I$89,5,0)</f>
        <v>-1.7735146684572101E-14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150.88336605939878</v>
      </c>
      <c r="AO74" s="59">
        <f t="shared" si="90"/>
        <v>268.54782308462387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72.921905558182885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1.9268618775871042E-2</v>
      </c>
      <c r="AX74" s="21">
        <f t="shared" si="60"/>
        <v>72.941174176958754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3.4106051316484809E-13</v>
      </c>
      <c r="O75" s="13">
        <f>N75*VLOOKUP('Données projet'!$B$9,Paramètres!$A$1:$I$89,3,0)*VLOOKUP('Données projet'!$B$9,Paramètres!$A$1:$I$89,5,0)</f>
        <v>1.9065282685915009E-13</v>
      </c>
      <c r="P75" s="13">
        <f t="shared" si="87"/>
        <v>2.6568987209435707E-12</v>
      </c>
      <c r="Q75" s="20">
        <f t="shared" si="54"/>
        <v>4.959485612423072E-12</v>
      </c>
      <c r="R75" s="59">
        <f t="shared" si="55"/>
        <v>293.33333333333826</v>
      </c>
      <c r="S75" s="59">
        <f ca="1">AVERAGE(OFFSET($R$3,0,0,'Données projet'!$E$9+1,1))-AVERAGE(OFFSET($H$3,0,0,'Données projet'!$E$9+1,1))</f>
        <v>320.29885421543776</v>
      </c>
      <c r="T75" s="59">
        <f t="shared" si="88"/>
        <v>546.34638548793396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119.70537377684961</v>
      </c>
      <c r="AA75" s="21">
        <f>EXP(-LN(2)/25)*AA74+(1-EXP(-LN(2)/25))/(LN(2)/25)*Calculateur!V75*Calculateur!X75*VLOOKUP('Données projet'!$B$9,Paramètres!$A$1:$I$89,3,0)*0.475*44/12</f>
        <v>32.502432857187685</v>
      </c>
      <c r="AB75" s="21">
        <f>EXP(-LN(2)/2)*AB74+(1-EXP(-LN(2)/2))/(LN(2)/2)*V75*Y75*VLOOKUP('Données projet'!$B$9,Paramètres!$A$1:$I$89,3,0)*0.475*44/12</f>
        <v>3.7113172563221042E-3</v>
      </c>
      <c r="AC75" s="22">
        <f t="shared" si="57"/>
        <v>152.21151795129362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-2.8421709430404007E-14</v>
      </c>
      <c r="AJ75" s="13">
        <f>AI75*VLOOKUP('Données projet'!$B$10,Paramètres!$A$1:$I$89,3,0)*VLOOKUP('Données projet'!$B$10,Paramètres!$A$1:$I$89,5,0)</f>
        <v>-1.7735146684572101E-14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150.88336605939878</v>
      </c>
      <c r="AO75" s="59">
        <f t="shared" si="90"/>
        <v>268.54782308462387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71.491951468157481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1.3624971000516847E-2</v>
      </c>
      <c r="AX75" s="21">
        <f t="shared" si="60"/>
        <v>71.505576439157991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3.4106051316484809E-13</v>
      </c>
      <c r="O76" s="13">
        <f>N76*VLOOKUP('Données projet'!$B$9,Paramètres!$A$1:$I$89,3,0)*VLOOKUP('Données projet'!$B$9,Paramètres!$A$1:$I$89,5,0)</f>
        <v>1.9065282685915009E-13</v>
      </c>
      <c r="P76" s="13">
        <f t="shared" si="87"/>
        <v>2.6568987209435707E-12</v>
      </c>
      <c r="Q76" s="20">
        <f t="shared" si="54"/>
        <v>4.959485612423072E-12</v>
      </c>
      <c r="R76" s="59">
        <f t="shared" si="55"/>
        <v>293.33333333333826</v>
      </c>
      <c r="S76" s="59">
        <f ca="1">AVERAGE(OFFSET($R$3,0,0,'Données projet'!$E$9+1,1))-AVERAGE(OFFSET($H$3,0,0,'Données projet'!$E$9+1,1))</f>
        <v>320.29885421543776</v>
      </c>
      <c r="T76" s="59">
        <f t="shared" si="88"/>
        <v>546.34638548793396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117.35802441015416</v>
      </c>
      <c r="AA76" s="21">
        <f>EXP(-LN(2)/25)*AA75+(1-EXP(-LN(2)/25))/(LN(2)/25)*Calculateur!V76*Calculateur!X76*VLOOKUP('Données projet'!$B$9,Paramètres!$A$1:$I$89,3,0)*0.475*44/12</f>
        <v>31.61365212147923</v>
      </c>
      <c r="AB76" s="21">
        <f>EXP(-LN(2)/2)*AB75+(1-EXP(-LN(2)/2))/(LN(2)/2)*V76*Y76*VLOOKUP('Données projet'!$B$9,Paramètres!$A$1:$I$89,3,0)*0.475*44/12</f>
        <v>2.624297599080012E-3</v>
      </c>
      <c r="AC76" s="22">
        <f t="shared" si="57"/>
        <v>148.97430082923248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-2.8421709430404007E-14</v>
      </c>
      <c r="AJ76" s="13">
        <f>AI76*VLOOKUP('Données projet'!$B$10,Paramètres!$A$1:$I$89,3,0)*VLOOKUP('Données projet'!$B$10,Paramètres!$A$1:$I$89,5,0)</f>
        <v>-1.7735146684572101E-14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150.88336605939878</v>
      </c>
      <c r="AO76" s="59">
        <f t="shared" si="90"/>
        <v>268.54782308462387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70.090037905651599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9.6343093879355211E-3</v>
      </c>
      <c r="AX76" s="21">
        <f t="shared" si="60"/>
        <v>70.099672215039533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3.4106051316484809E-13</v>
      </c>
      <c r="O77" s="13">
        <f>N77*VLOOKUP('Données projet'!$B$9,Paramètres!$A$1:$I$89,3,0)*VLOOKUP('Données projet'!$B$9,Paramètres!$A$1:$I$89,5,0)</f>
        <v>1.9065282685915009E-13</v>
      </c>
      <c r="P77" s="13">
        <f t="shared" si="87"/>
        <v>2.6568987209435707E-12</v>
      </c>
      <c r="Q77" s="20">
        <f t="shared" si="54"/>
        <v>4.959485612423072E-12</v>
      </c>
      <c r="R77" s="59">
        <f t="shared" si="55"/>
        <v>293.33333333333826</v>
      </c>
      <c r="S77" s="59">
        <f ca="1">AVERAGE(OFFSET($R$3,0,0,'Données projet'!$E$9+1,1))-AVERAGE(OFFSET($H$3,0,0,'Données projet'!$E$9+1,1))</f>
        <v>320.29885421543776</v>
      </c>
      <c r="T77" s="59">
        <f t="shared" si="88"/>
        <v>546.34638548793396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115.05670513279786</v>
      </c>
      <c r="AA77" s="21">
        <f>EXP(-LN(2)/25)*AA76+(1-EXP(-LN(2)/25))/(LN(2)/25)*Calculateur!V77*Calculateur!X77*VLOOKUP('Données projet'!$B$9,Paramètres!$A$1:$I$89,3,0)*0.475*44/12</f>
        <v>30.749175141727669</v>
      </c>
      <c r="AB77" s="21">
        <f>EXP(-LN(2)/2)*AB76+(1-EXP(-LN(2)/2))/(LN(2)/2)*V77*Y77*VLOOKUP('Données projet'!$B$9,Paramètres!$A$1:$I$89,3,0)*0.475*44/12</f>
        <v>1.8556586281610521E-3</v>
      </c>
      <c r="AC77" s="22">
        <f t="shared" si="57"/>
        <v>145.80773593315368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-2.8421709430404007E-14</v>
      </c>
      <c r="AJ77" s="13">
        <f>AI77*VLOOKUP('Données projet'!$B$10,Paramètres!$A$1:$I$89,3,0)*VLOOKUP('Données projet'!$B$10,Paramètres!$A$1:$I$89,5,0)</f>
        <v>-1.7735146684572101E-14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150.88336605939878</v>
      </c>
      <c r="AO77" s="59">
        <f t="shared" si="90"/>
        <v>268.54782308462387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68.715615013023609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6.8124855002584233E-3</v>
      </c>
      <c r="AX77" s="21">
        <f t="shared" si="60"/>
        <v>68.722427498523871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3.4106051316484809E-13</v>
      </c>
      <c r="O78" s="13">
        <f>N78*VLOOKUP('Données projet'!$B$9,Paramètres!$A$1:$I$89,3,0)*VLOOKUP('Données projet'!$B$9,Paramètres!$A$1:$I$89,5,0)</f>
        <v>1.9065282685915009E-13</v>
      </c>
      <c r="P78" s="13">
        <f t="shared" si="87"/>
        <v>2.6568987209435707E-12</v>
      </c>
      <c r="Q78" s="20">
        <f t="shared" si="54"/>
        <v>4.959485612423072E-12</v>
      </c>
      <c r="R78" s="59">
        <f t="shared" si="55"/>
        <v>293.33333333333826</v>
      </c>
      <c r="S78" s="59">
        <f ca="1">AVERAGE(OFFSET($R$3,0,0,'Données projet'!$E$9+1,1))-AVERAGE(OFFSET($H$3,0,0,'Données projet'!$E$9+1,1))</f>
        <v>320.29885421543776</v>
      </c>
      <c r="T78" s="59">
        <f t="shared" si="88"/>
        <v>546.34638548793396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112.80051332280435</v>
      </c>
      <c r="AA78" s="21">
        <f>EXP(-LN(2)/25)*AA77+(1-EXP(-LN(2)/25))/(LN(2)/25)*Calculateur!V78*Calculateur!X78*VLOOKUP('Données projet'!$B$9,Paramètres!$A$1:$I$89,3,0)*0.475*44/12</f>
        <v>29.908337330448283</v>
      </c>
      <c r="AB78" s="21">
        <f>EXP(-LN(2)/2)*AB77+(1-EXP(-LN(2)/2))/(LN(2)/2)*V78*Y78*VLOOKUP('Données projet'!$B$9,Paramètres!$A$1:$I$89,3,0)*0.475*44/12</f>
        <v>1.312148799540006E-3</v>
      </c>
      <c r="AC78" s="22">
        <f t="shared" si="57"/>
        <v>142.71016280205217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-2.8421709430404007E-14</v>
      </c>
      <c r="AJ78" s="13">
        <f>AI78*VLOOKUP('Données projet'!$B$10,Paramètres!$A$1:$I$89,3,0)*VLOOKUP('Données projet'!$B$10,Paramètres!$A$1:$I$89,5,0)</f>
        <v>-1.7735146684572101E-14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150.88336605939878</v>
      </c>
      <c r="AO78" s="59">
        <f t="shared" si="90"/>
        <v>268.54782308462387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67.368143715004862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4.8171546939677606E-3</v>
      </c>
      <c r="AX78" s="21">
        <f t="shared" si="60"/>
        <v>67.372960869698829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3.4106051316484809E-13</v>
      </c>
      <c r="O79" s="13">
        <f>N79*VLOOKUP('Données projet'!$B$9,Paramètres!$A$1:$I$89,3,0)*VLOOKUP('Données projet'!$B$9,Paramètres!$A$1:$I$89,5,0)</f>
        <v>1.9065282685915009E-13</v>
      </c>
      <c r="P79" s="13">
        <f t="shared" si="87"/>
        <v>2.6568987209435707E-12</v>
      </c>
      <c r="Q79" s="20">
        <f t="shared" si="54"/>
        <v>4.959485612423072E-12</v>
      </c>
      <c r="R79" s="59">
        <f t="shared" si="55"/>
        <v>293.33333333333826</v>
      </c>
      <c r="S79" s="59">
        <f ca="1">AVERAGE(OFFSET($R$3,0,0,'Données projet'!$E$9+1,1))-AVERAGE(OFFSET($H$3,0,0,'Données projet'!$E$9+1,1))</f>
        <v>320.29885421543776</v>
      </c>
      <c r="T79" s="59">
        <f t="shared" si="88"/>
        <v>546.34638548793396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110.5885640580637</v>
      </c>
      <c r="AA79" s="21">
        <f>EXP(-LN(2)/25)*AA78+(1-EXP(-LN(2)/25))/(LN(2)/25)*Calculateur!V79*Calculateur!X79*VLOOKUP('Données projet'!$B$9,Paramètres!$A$1:$I$89,3,0)*0.475*44/12</f>
        <v>29.090492273336071</v>
      </c>
      <c r="AB79" s="21">
        <f>EXP(-LN(2)/2)*AB78+(1-EXP(-LN(2)/2))/(LN(2)/2)*V79*Y79*VLOOKUP('Données projet'!$B$9,Paramètres!$A$1:$I$89,3,0)*0.475*44/12</f>
        <v>9.2782931408052604E-4</v>
      </c>
      <c r="AC79" s="22">
        <f t="shared" si="57"/>
        <v>139.67998416071387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-2.8421709430404007E-14</v>
      </c>
      <c r="AJ79" s="13">
        <f>AI79*VLOOKUP('Données projet'!$B$10,Paramètres!$A$1:$I$89,3,0)*VLOOKUP('Données projet'!$B$10,Paramètres!$A$1:$I$89,5,0)</f>
        <v>-1.7735146684572101E-14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150.88336605939878</v>
      </c>
      <c r="AO79" s="59">
        <f t="shared" si="90"/>
        <v>268.54782308462387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66.047095507263933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3.4062427501292116E-3</v>
      </c>
      <c r="AX79" s="21">
        <f t="shared" si="60"/>
        <v>66.050501750014064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3.4106051316484809E-13</v>
      </c>
      <c r="O80" s="13">
        <f>N80*VLOOKUP('Données projet'!$B$9,Paramètres!$A$1:$I$89,3,0)*VLOOKUP('Données projet'!$B$9,Paramètres!$A$1:$I$89,5,0)</f>
        <v>1.9065282685915009E-13</v>
      </c>
      <c r="P80" s="13">
        <f t="shared" si="87"/>
        <v>2.6568987209435707E-12</v>
      </c>
      <c r="Q80" s="20">
        <f t="shared" si="54"/>
        <v>4.959485612423072E-12</v>
      </c>
      <c r="R80" s="59">
        <f t="shared" si="55"/>
        <v>293.33333333333826</v>
      </c>
      <c r="S80" s="59">
        <f ca="1">AVERAGE(OFFSET($R$3,0,0,'Données projet'!$E$9+1,1))-AVERAGE(OFFSET($H$3,0,0,'Données projet'!$E$9+1,1))</f>
        <v>320.29885421543776</v>
      </c>
      <c r="T80" s="59">
        <f t="shared" si="88"/>
        <v>546.34638548793396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108.41998976924877</v>
      </c>
      <c r="AA80" s="21">
        <f>EXP(-LN(2)/25)*AA79+(1-EXP(-LN(2)/25))/(LN(2)/25)*Calculateur!V80*Calculateur!X80*VLOOKUP('Données projet'!$B$9,Paramètres!$A$1:$I$89,3,0)*0.475*44/12</f>
        <v>28.295011232319194</v>
      </c>
      <c r="AB80" s="21">
        <f>EXP(-LN(2)/2)*AB79+(1-EXP(-LN(2)/2))/(LN(2)/2)*V80*Y80*VLOOKUP('Données projet'!$B$9,Paramètres!$A$1:$I$89,3,0)*0.475*44/12</f>
        <v>6.56074399770003E-4</v>
      </c>
      <c r="AC80" s="22">
        <f t="shared" si="57"/>
        <v>136.71565707596773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-2.8421709430404007E-14</v>
      </c>
      <c r="AJ80" s="13">
        <f>AI80*VLOOKUP('Données projet'!$B$10,Paramètres!$A$1:$I$89,3,0)*VLOOKUP('Données projet'!$B$10,Paramètres!$A$1:$I$89,5,0)</f>
        <v>-1.7735146684572101E-14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150.88336605939878</v>
      </c>
      <c r="AO80" s="59">
        <f t="shared" si="90"/>
        <v>268.54782308462387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64.751952249116954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2.4085773469838803E-3</v>
      </c>
      <c r="AX80" s="21">
        <f t="shared" si="60"/>
        <v>64.754360826463937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3.4106051316484809E-13</v>
      </c>
      <c r="O81" s="13">
        <f>N81*VLOOKUP('Données projet'!$B$9,Paramètres!$A$1:$I$89,3,0)*VLOOKUP('Données projet'!$B$9,Paramètres!$A$1:$I$89,5,0)</f>
        <v>1.9065282685915009E-13</v>
      </c>
      <c r="P81" s="13">
        <f t="shared" si="87"/>
        <v>2.6568987209435707E-12</v>
      </c>
      <c r="Q81" s="20">
        <f t="shared" si="54"/>
        <v>4.959485612423072E-12</v>
      </c>
      <c r="R81" s="59">
        <f t="shared" si="55"/>
        <v>293.33333333333826</v>
      </c>
      <c r="S81" s="59">
        <f ca="1">AVERAGE(OFFSET($R$3,0,0,'Données projet'!$E$9+1,1))-AVERAGE(OFFSET($H$3,0,0,'Données projet'!$E$9+1,1))</f>
        <v>320.29885421543776</v>
      </c>
      <c r="T81" s="59">
        <f t="shared" si="88"/>
        <v>546.34638548793396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106.2939398995378</v>
      </c>
      <c r="AA81" s="21">
        <f>EXP(-LN(2)/25)*AA80+(1-EXP(-LN(2)/25))/(LN(2)/25)*Calculateur!V81*Calculateur!X81*VLOOKUP('Données projet'!$B$9,Paramètres!$A$1:$I$89,3,0)*0.475*44/12</f>
        <v>27.521282662201454</v>
      </c>
      <c r="AB81" s="21">
        <f>EXP(-LN(2)/2)*AB80+(1-EXP(-LN(2)/2))/(LN(2)/2)*V81*Y81*VLOOKUP('Données projet'!$B$9,Paramètres!$A$1:$I$89,3,0)*0.475*44/12</f>
        <v>4.6391465704026302E-4</v>
      </c>
      <c r="AC81" s="22">
        <f t="shared" si="57"/>
        <v>133.81568647639631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-2.8421709430404007E-14</v>
      </c>
      <c r="AJ81" s="13">
        <f>AI81*VLOOKUP('Données projet'!$B$10,Paramètres!$A$1:$I$89,3,0)*VLOOKUP('Données projet'!$B$10,Paramètres!$A$1:$I$89,5,0)</f>
        <v>-1.7735146684572101E-14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150.88336605939878</v>
      </c>
      <c r="AO81" s="59">
        <f t="shared" si="90"/>
        <v>268.54782308462387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63.482205960302856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1.7031213750646058E-3</v>
      </c>
      <c r="AX81" s="21">
        <f t="shared" si="60"/>
        <v>63.483909081677922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3.4106051316484809E-13</v>
      </c>
      <c r="O82" s="13">
        <f>N82*VLOOKUP('Données projet'!$B$9,Paramètres!$A$1:$I$89,3,0)*VLOOKUP('Données projet'!$B$9,Paramètres!$A$1:$I$89,5,0)</f>
        <v>1.9065282685915009E-13</v>
      </c>
      <c r="P82" s="13">
        <f t="shared" si="87"/>
        <v>2.6568987209435707E-12</v>
      </c>
      <c r="Q82" s="20">
        <f t="shared" si="54"/>
        <v>4.959485612423072E-12</v>
      </c>
      <c r="R82" s="59">
        <f t="shared" si="55"/>
        <v>293.33333333333826</v>
      </c>
      <c r="S82" s="59">
        <f ca="1">AVERAGE(OFFSET($R$3,0,0,'Données projet'!$E$9+1,1))-AVERAGE(OFFSET($H$3,0,0,'Données projet'!$E$9+1,1))</f>
        <v>320.29885421543776</v>
      </c>
      <c r="T82" s="59">
        <f t="shared" si="88"/>
        <v>546.34638548793396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104.20958057100948</v>
      </c>
      <c r="AA82" s="21">
        <f>EXP(-LN(2)/25)*AA81+(1-EXP(-LN(2)/25))/(LN(2)/25)*Calculateur!V82*Calculateur!X82*VLOOKUP('Données projet'!$B$9,Paramètres!$A$1:$I$89,3,0)*0.475*44/12</f>
        <v>26.7687117405222</v>
      </c>
      <c r="AB82" s="21">
        <f>EXP(-LN(2)/2)*AB81+(1-EXP(-LN(2)/2))/(LN(2)/2)*V82*Y82*VLOOKUP('Données projet'!$B$9,Paramètres!$A$1:$I$89,3,0)*0.475*44/12</f>
        <v>3.280371998850015E-4</v>
      </c>
      <c r="AC82" s="22">
        <f t="shared" si="57"/>
        <v>130.97862034873157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-2.8421709430404007E-14</v>
      </c>
      <c r="AJ82" s="13">
        <f>AI82*VLOOKUP('Données projet'!$B$10,Paramètres!$A$1:$I$89,3,0)*VLOOKUP('Données projet'!$B$10,Paramètres!$A$1:$I$89,5,0)</f>
        <v>-1.7735146684572101E-14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150.88336605939878</v>
      </c>
      <c r="AO82" s="59">
        <f t="shared" si="90"/>
        <v>268.54782308462387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62.237358621743638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1.2042886734919401E-3</v>
      </c>
      <c r="AX82" s="21">
        <f t="shared" si="60"/>
        <v>62.23856291041713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3.4106051316484809E-13</v>
      </c>
      <c r="O83" s="13">
        <f>N83*VLOOKUP('Données projet'!$B$9,Paramètres!$A$1:$I$89,3,0)*VLOOKUP('Données projet'!$B$9,Paramètres!$A$1:$I$89,5,0)</f>
        <v>1.9065282685915009E-13</v>
      </c>
      <c r="P83" s="13">
        <f t="shared" si="87"/>
        <v>2.6568987209435707E-12</v>
      </c>
      <c r="Q83" s="20">
        <f t="shared" si="54"/>
        <v>4.959485612423072E-12</v>
      </c>
      <c r="R83" s="59">
        <f t="shared" si="55"/>
        <v>293.33333333333826</v>
      </c>
      <c r="S83" s="59">
        <f ca="1">AVERAGE(OFFSET($R$3,0,0,'Données projet'!$E$9+1,1))-AVERAGE(OFFSET($H$3,0,0,'Données projet'!$E$9+1,1))</f>
        <v>320.29885421543776</v>
      </c>
      <c r="T83" s="59">
        <f t="shared" si="88"/>
        <v>546.34638548793396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102.16609425757996</v>
      </c>
      <c r="AA83" s="21">
        <f>EXP(-LN(2)/25)*AA82+(1-EXP(-LN(2)/25))/(LN(2)/25)*Calculateur!V83*Calculateur!X83*VLOOKUP('Données projet'!$B$9,Paramètres!$A$1:$I$89,3,0)*0.475*44/12</f>
        <v>26.03671991027225</v>
      </c>
      <c r="AB83" s="21">
        <f>EXP(-LN(2)/2)*AB82+(1-EXP(-LN(2)/2))/(LN(2)/2)*V83*Y83*VLOOKUP('Données projet'!$B$9,Paramètres!$A$1:$I$89,3,0)*0.475*44/12</f>
        <v>2.3195732852013151E-4</v>
      </c>
      <c r="AC83" s="22">
        <f t="shared" si="57"/>
        <v>128.20304612518072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-2.8421709430404007E-14</v>
      </c>
      <c r="AJ83" s="13">
        <f>AI83*VLOOKUP('Données projet'!$B$10,Paramètres!$A$1:$I$89,3,0)*VLOOKUP('Données projet'!$B$10,Paramètres!$A$1:$I$89,5,0)</f>
        <v>-1.7735146684572101E-14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150.88336605939878</v>
      </c>
      <c r="AO83" s="59">
        <f t="shared" si="90"/>
        <v>268.54782308462387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61.016921980211663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8.5156068753230291E-4</v>
      </c>
      <c r="AX83" s="21">
        <f t="shared" si="60"/>
        <v>61.017773540899192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3.4106051316484809E-13</v>
      </c>
      <c r="O84" s="13">
        <f>N84*VLOOKUP('Données projet'!$B$9,Paramètres!$A$1:$I$89,3,0)*VLOOKUP('Données projet'!$B$9,Paramètres!$A$1:$I$89,5,0)</f>
        <v>1.9065282685915009E-13</v>
      </c>
      <c r="P84" s="13">
        <f t="shared" si="87"/>
        <v>2.6568987209435707E-12</v>
      </c>
      <c r="Q84" s="20">
        <f t="shared" si="54"/>
        <v>4.959485612423072E-12</v>
      </c>
      <c r="R84" s="59">
        <f t="shared" si="55"/>
        <v>293.33333333333826</v>
      </c>
      <c r="S84" s="59">
        <f ca="1">AVERAGE(OFFSET($R$3,0,0,'Données projet'!$E$9+1,1))-AVERAGE(OFFSET($H$3,0,0,'Données projet'!$E$9+1,1))</f>
        <v>320.29885421543776</v>
      </c>
      <c r="T84" s="59">
        <f t="shared" si="88"/>
        <v>546.34638548793396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100.1626794643532</v>
      </c>
      <c r="AA84" s="21">
        <f>EXP(-LN(2)/25)*AA83+(1-EXP(-LN(2)/25))/(LN(2)/25)*Calculateur!V84*Calculateur!X84*VLOOKUP('Données projet'!$B$9,Paramètres!$A$1:$I$89,3,0)*0.475*44/12</f>
        <v>25.324744435114262</v>
      </c>
      <c r="AB84" s="21">
        <f>EXP(-LN(2)/2)*AB83+(1-EXP(-LN(2)/2))/(LN(2)/2)*V84*Y84*VLOOKUP('Données projet'!$B$9,Paramètres!$A$1:$I$89,3,0)*0.475*44/12</f>
        <v>1.6401859994250075E-4</v>
      </c>
      <c r="AC84" s="22">
        <f t="shared" si="57"/>
        <v>125.48758791806742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-2.8421709430404007E-14</v>
      </c>
      <c r="AJ84" s="13">
        <f>AI84*VLOOKUP('Données projet'!$B$10,Paramètres!$A$1:$I$89,3,0)*VLOOKUP('Données projet'!$B$10,Paramètres!$A$1:$I$89,5,0)</f>
        <v>-1.7735146684572101E-14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150.88336605939878</v>
      </c>
      <c r="AO84" s="59">
        <f t="shared" si="90"/>
        <v>268.54782308462387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59.820417356827278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6.0214433674597007E-4</v>
      </c>
      <c r="AX84" s="21">
        <f t="shared" si="60"/>
        <v>59.821019501164024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3.4106051316484809E-13</v>
      </c>
      <c r="O85" s="13">
        <f>N85*VLOOKUP('Données projet'!$B$9,Paramètres!$A$1:$I$89,3,0)*VLOOKUP('Données projet'!$B$9,Paramètres!$A$1:$I$89,5,0)</f>
        <v>1.9065282685915009E-13</v>
      </c>
      <c r="P85" s="13">
        <f t="shared" si="87"/>
        <v>2.6568987209435707E-12</v>
      </c>
      <c r="Q85" s="20">
        <f t="shared" si="54"/>
        <v>4.959485612423072E-12</v>
      </c>
      <c r="R85" s="59">
        <f t="shared" si="55"/>
        <v>293.33333333333826</v>
      </c>
      <c r="S85" s="59">
        <f ca="1">AVERAGE(OFFSET($R$3,0,0,'Données projet'!$E$9+1,1))-AVERAGE(OFFSET($H$3,0,0,'Données projet'!$E$9+1,1))</f>
        <v>320.29885421543776</v>
      </c>
      <c r="T85" s="59">
        <f t="shared" si="88"/>
        <v>546.34638548793396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98.198550413259255</v>
      </c>
      <c r="AA85" s="21">
        <f>EXP(-LN(2)/25)*AA84+(1-EXP(-LN(2)/25))/(LN(2)/25)*Calculateur!V85*Calculateur!X85*VLOOKUP('Données projet'!$B$9,Paramètres!$A$1:$I$89,3,0)*0.475*44/12</f>
        <v>24.632237966765633</v>
      </c>
      <c r="AB85" s="21">
        <f>EXP(-LN(2)/2)*AB84+(1-EXP(-LN(2)/2))/(LN(2)/2)*V85*Y85*VLOOKUP('Données projet'!$B$9,Paramètres!$A$1:$I$89,3,0)*0.475*44/12</f>
        <v>1.1597866426006576E-4</v>
      </c>
      <c r="AC85" s="22">
        <f t="shared" si="57"/>
        <v>122.83090435868914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-2.8421709430404007E-14</v>
      </c>
      <c r="AJ85" s="13">
        <f>AI85*VLOOKUP('Données projet'!$B$10,Paramètres!$A$1:$I$89,3,0)*VLOOKUP('Données projet'!$B$10,Paramètres!$A$1:$I$89,5,0)</f>
        <v>-1.7735146684572101E-14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150.88336605939878</v>
      </c>
      <c r="AO85" s="59">
        <f t="shared" si="90"/>
        <v>268.54782308462387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58.647375459311704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4.2578034376615146E-4</v>
      </c>
      <c r="AX85" s="21">
        <f t="shared" si="60"/>
        <v>58.647801239655472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3.4106051316484809E-13</v>
      </c>
      <c r="O86" s="13">
        <f>N86*VLOOKUP('Données projet'!$B$9,Paramètres!$A$1:$I$89,3,0)*VLOOKUP('Données projet'!$B$9,Paramètres!$A$1:$I$89,5,0)</f>
        <v>1.9065282685915009E-13</v>
      </c>
      <c r="P86" s="13">
        <f t="shared" si="87"/>
        <v>2.6568987209435707E-12</v>
      </c>
      <c r="Q86" s="20">
        <f t="shared" si="54"/>
        <v>4.959485612423072E-12</v>
      </c>
      <c r="R86" s="59">
        <f t="shared" si="55"/>
        <v>293.33333333333826</v>
      </c>
      <c r="S86" s="59">
        <f ca="1">AVERAGE(OFFSET($R$3,0,0,'Données projet'!$E$9+1,1))-AVERAGE(OFFSET($H$3,0,0,'Données projet'!$E$9+1,1))</f>
        <v>320.29885421543776</v>
      </c>
      <c r="T86" s="59">
        <f t="shared" si="88"/>
        <v>546.34638548793396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96.272936734856827</v>
      </c>
      <c r="AA86" s="21">
        <f>EXP(-LN(2)/25)*AA85+(1-EXP(-LN(2)/25))/(LN(2)/25)*Calculateur!V86*Calculateur!X86*VLOOKUP('Données projet'!$B$9,Paramètres!$A$1:$I$89,3,0)*0.475*44/12</f>
        <v>23.958668124211329</v>
      </c>
      <c r="AB86" s="21">
        <f>EXP(-LN(2)/2)*AB85+(1-EXP(-LN(2)/2))/(LN(2)/2)*V86*Y86*VLOOKUP('Données projet'!$B$9,Paramètres!$A$1:$I$89,3,0)*0.475*44/12</f>
        <v>8.2009299971250375E-5</v>
      </c>
      <c r="AC86" s="22">
        <f t="shared" si="57"/>
        <v>120.23168686836813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-2.8421709430404007E-14</v>
      </c>
      <c r="AJ86" s="13">
        <f>AI86*VLOOKUP('Données projet'!$B$10,Paramètres!$A$1:$I$89,3,0)*VLOOKUP('Données projet'!$B$10,Paramètres!$A$1:$I$89,5,0)</f>
        <v>-1.7735146684572101E-14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150.88336605939878</v>
      </c>
      <c r="AO86" s="59">
        <f t="shared" si="90"/>
        <v>268.54782308462387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57.497336197921506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3.0107216837298504E-4</v>
      </c>
      <c r="AX86" s="21">
        <f t="shared" si="60"/>
        <v>57.497637270089882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3.4106051316484809E-13</v>
      </c>
      <c r="O87" s="13">
        <f>N87*VLOOKUP('Données projet'!$B$9,Paramètres!$A$1:$I$89,3,0)*VLOOKUP('Données projet'!$B$9,Paramètres!$A$1:$I$89,5,0)</f>
        <v>1.9065282685915009E-13</v>
      </c>
      <c r="P87" s="13">
        <f t="shared" si="87"/>
        <v>2.6568987209435707E-12</v>
      </c>
      <c r="Q87" s="20">
        <f t="shared" si="54"/>
        <v>4.959485612423072E-12</v>
      </c>
      <c r="R87" s="59">
        <f t="shared" si="55"/>
        <v>293.33333333333826</v>
      </c>
      <c r="S87" s="59">
        <f ca="1">AVERAGE(OFFSET($R$3,0,0,'Données projet'!$E$9+1,1))-AVERAGE(OFFSET($H$3,0,0,'Données projet'!$E$9+1,1))</f>
        <v>320.29885421543776</v>
      </c>
      <c r="T87" s="59">
        <f t="shared" si="88"/>
        <v>546.34638548793396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94.385083166179513</v>
      </c>
      <c r="AA87" s="21">
        <f>EXP(-LN(2)/25)*AA86+(1-EXP(-LN(2)/25))/(LN(2)/25)*Calculateur!V87*Calculateur!X87*VLOOKUP('Données projet'!$B$9,Paramètres!$A$1:$I$89,3,0)*0.475*44/12</f>
        <v>23.30351708442317</v>
      </c>
      <c r="AB87" s="21">
        <f>EXP(-LN(2)/2)*AB86+(1-EXP(-LN(2)/2))/(LN(2)/2)*V87*Y87*VLOOKUP('Données projet'!$B$9,Paramètres!$A$1:$I$89,3,0)*0.475*44/12</f>
        <v>5.7989332130032878E-5</v>
      </c>
      <c r="AC87" s="22">
        <f t="shared" si="57"/>
        <v>117.68865823993482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-2.8421709430404007E-14</v>
      </c>
      <c r="AJ87" s="13">
        <f>AI87*VLOOKUP('Données projet'!$B$10,Paramètres!$A$1:$I$89,3,0)*VLOOKUP('Données projet'!$B$10,Paramètres!$A$1:$I$89,5,0)</f>
        <v>-1.7735146684572101E-14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150.88336605939878</v>
      </c>
      <c r="AO87" s="59">
        <f t="shared" si="90"/>
        <v>268.54782308462387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56.369848504992483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2.1289017188307573E-4</v>
      </c>
      <c r="AX87" s="21">
        <f t="shared" si="60"/>
        <v>56.370061395164363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3.4106051316484809E-13</v>
      </c>
      <c r="O88" s="13">
        <f>N88*VLOOKUP('Données projet'!$B$9,Paramètres!$A$1:$I$89,3,0)*VLOOKUP('Données projet'!$B$9,Paramètres!$A$1:$I$89,5,0)</f>
        <v>1.9065282685915009E-13</v>
      </c>
      <c r="P88" s="13">
        <f t="shared" si="87"/>
        <v>2.6568987209435707E-12</v>
      </c>
      <c r="Q88" s="20">
        <f t="shared" si="54"/>
        <v>4.959485612423072E-12</v>
      </c>
      <c r="R88" s="59">
        <f t="shared" si="55"/>
        <v>293.33333333333826</v>
      </c>
      <c r="S88" s="59">
        <f ca="1">AVERAGE(OFFSET($R$3,0,0,'Données projet'!$E$9+1,1))-AVERAGE(OFFSET($H$3,0,0,'Données projet'!$E$9+1,1))</f>
        <v>320.29885421543776</v>
      </c>
      <c r="T88" s="59">
        <f t="shared" si="88"/>
        <v>546.34638548793396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92.534249254506975</v>
      </c>
      <c r="AA88" s="21">
        <f>EXP(-LN(2)/25)*AA87+(1-EXP(-LN(2)/25))/(LN(2)/25)*Calculateur!V88*Calculateur!X88*VLOOKUP('Données projet'!$B$9,Paramètres!$A$1:$I$89,3,0)*0.475*44/12</f>
        <v>22.666281184270915</v>
      </c>
      <c r="AB88" s="21">
        <f>EXP(-LN(2)/2)*AB87+(1-EXP(-LN(2)/2))/(LN(2)/2)*V88*Y88*VLOOKUP('Données projet'!$B$9,Paramètres!$A$1:$I$89,3,0)*0.475*44/12</f>
        <v>4.1004649985625187E-5</v>
      </c>
      <c r="AC88" s="22">
        <f t="shared" si="57"/>
        <v>115.20057144342788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-2.8421709430404007E-14</v>
      </c>
      <c r="AJ88" s="13">
        <f>AI88*VLOOKUP('Données projet'!$B$10,Paramètres!$A$1:$I$89,3,0)*VLOOKUP('Données projet'!$B$10,Paramètres!$A$1:$I$89,5,0)</f>
        <v>-1.7735146684572101E-14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150.88336605939878</v>
      </c>
      <c r="AO88" s="59">
        <f t="shared" si="90"/>
        <v>268.54782308462387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55.264470158022206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1.5053608418649252E-4</v>
      </c>
      <c r="AX88" s="21">
        <f t="shared" si="60"/>
        <v>55.264620694106391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3.4106051316484809E-13</v>
      </c>
      <c r="O89" s="13">
        <f>N89*VLOOKUP('Données projet'!$B$9,Paramètres!$A$1:$I$89,3,0)*VLOOKUP('Données projet'!$B$9,Paramètres!$A$1:$I$89,5,0)</f>
        <v>1.9065282685915009E-13</v>
      </c>
      <c r="P89" s="13">
        <f t="shared" si="87"/>
        <v>2.6568987209435707E-12</v>
      </c>
      <c r="Q89" s="20">
        <f t="shared" si="54"/>
        <v>4.959485612423072E-12</v>
      </c>
      <c r="R89" s="59">
        <f t="shared" si="55"/>
        <v>293.33333333333826</v>
      </c>
      <c r="S89" s="59">
        <f ca="1">AVERAGE(OFFSET($R$3,0,0,'Données projet'!$E$9+1,1))-AVERAGE(OFFSET($H$3,0,0,'Données projet'!$E$9+1,1))</f>
        <v>320.29885421543776</v>
      </c>
      <c r="T89" s="59">
        <f t="shared" si="88"/>
        <v>546.34638548793396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90.719709066945114</v>
      </c>
      <c r="AA89" s="21">
        <f>EXP(-LN(2)/25)*AA88+(1-EXP(-LN(2)/25))/(LN(2)/25)*Calculateur!V89*Calculateur!X89*VLOOKUP('Données projet'!$B$9,Paramètres!$A$1:$I$89,3,0)*0.475*44/12</f>
        <v>22.046470533319102</v>
      </c>
      <c r="AB89" s="21">
        <f>EXP(-LN(2)/2)*AB88+(1-EXP(-LN(2)/2))/(LN(2)/2)*V89*Y89*VLOOKUP('Données projet'!$B$9,Paramètres!$A$1:$I$89,3,0)*0.475*44/12</f>
        <v>2.8994666065016439E-5</v>
      </c>
      <c r="AC89" s="22">
        <f t="shared" si="57"/>
        <v>112.76620859493029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-2.8421709430404007E-14</v>
      </c>
      <c r="AJ89" s="13">
        <f>AI89*VLOOKUP('Données projet'!$B$10,Paramètres!$A$1:$I$89,3,0)*VLOOKUP('Données projet'!$B$10,Paramètres!$A$1:$I$89,5,0)</f>
        <v>-1.7735146684572101E-14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150.88336605939878</v>
      </c>
      <c r="AO89" s="59">
        <f t="shared" si="90"/>
        <v>268.54782308462387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54.180767606221799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1.0644508594153786E-4</v>
      </c>
      <c r="AX89" s="21">
        <f t="shared" si="60"/>
        <v>54.18087405130774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3.4106051316484809E-13</v>
      </c>
      <c r="O90" s="13">
        <f>N90*VLOOKUP('Données projet'!$B$9,Paramètres!$A$1:$I$89,3,0)*VLOOKUP('Données projet'!$B$9,Paramètres!$A$1:$I$89,5,0)</f>
        <v>1.9065282685915009E-13</v>
      </c>
      <c r="P90" s="13">
        <f t="shared" si="87"/>
        <v>2.6568987209435707E-12</v>
      </c>
      <c r="Q90" s="20">
        <f t="shared" si="54"/>
        <v>4.959485612423072E-12</v>
      </c>
      <c r="R90" s="59">
        <f t="shared" si="55"/>
        <v>293.33333333333826</v>
      </c>
      <c r="S90" s="59">
        <f ca="1">AVERAGE(OFFSET($R$3,0,0,'Données projet'!$E$9+1,1))-AVERAGE(OFFSET($H$3,0,0,'Données projet'!$E$9+1,1))</f>
        <v>320.29885421543776</v>
      </c>
      <c r="T90" s="59">
        <f t="shared" si="88"/>
        <v>546.34638548793396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88.940750905701123</v>
      </c>
      <c r="AA90" s="21">
        <f>EXP(-LN(2)/25)*AA89+(1-EXP(-LN(2)/25))/(LN(2)/25)*Calculateur!V90*Calculateur!X90*VLOOKUP('Données projet'!$B$9,Paramètres!$A$1:$I$89,3,0)*0.475*44/12</f>
        <v>21.443608637211995</v>
      </c>
      <c r="AB90" s="21">
        <f>EXP(-LN(2)/2)*AB89+(1-EXP(-LN(2)/2))/(LN(2)/2)*V90*Y90*VLOOKUP('Données projet'!$B$9,Paramètres!$A$1:$I$89,3,0)*0.475*44/12</f>
        <v>2.0502324992812594E-5</v>
      </c>
      <c r="AC90" s="22">
        <f t="shared" si="57"/>
        <v>110.3843800452381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-2.8421709430404007E-14</v>
      </c>
      <c r="AJ90" s="13">
        <f>AI90*VLOOKUP('Données projet'!$B$10,Paramètres!$A$1:$I$89,3,0)*VLOOKUP('Données projet'!$B$10,Paramètres!$A$1:$I$89,5,0)</f>
        <v>-1.7735146684572101E-14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150.88336605939878</v>
      </c>
      <c r="AO90" s="59">
        <f t="shared" si="90"/>
        <v>268.54782308462387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53.118315800468906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7.5268042093246259E-5</v>
      </c>
      <c r="AX90" s="21">
        <f t="shared" si="60"/>
        <v>53.118391068511002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3.4106051316484809E-13</v>
      </c>
      <c r="O91" s="13">
        <f>N91*VLOOKUP('Données projet'!$B$9,Paramètres!$A$1:$I$89,3,0)*VLOOKUP('Données projet'!$B$9,Paramètres!$A$1:$I$89,5,0)</f>
        <v>1.9065282685915009E-13</v>
      </c>
      <c r="P91" s="13">
        <f t="shared" si="87"/>
        <v>2.6568987209435707E-12</v>
      </c>
      <c r="Q91" s="20">
        <f t="shared" si="54"/>
        <v>4.959485612423072E-12</v>
      </c>
      <c r="R91" s="59">
        <f t="shared" si="55"/>
        <v>293.33333333333826</v>
      </c>
      <c r="S91" s="59">
        <f ca="1">AVERAGE(OFFSET($R$3,0,0,'Données projet'!$E$9+1,1))-AVERAGE(OFFSET($H$3,0,0,'Données projet'!$E$9+1,1))</f>
        <v>320.29885421543776</v>
      </c>
      <c r="T91" s="59">
        <f t="shared" si="88"/>
        <v>546.34638548793396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87.196677028941778</v>
      </c>
      <c r="AA91" s="21">
        <f>EXP(-LN(2)/25)*AA90+(1-EXP(-LN(2)/25))/(LN(2)/25)*Calculateur!V91*Calculateur!X91*VLOOKUP('Données projet'!$B$9,Paramètres!$A$1:$I$89,3,0)*0.475*44/12</f>
        <v>20.857232031357064</v>
      </c>
      <c r="AB91" s="21">
        <f>EXP(-LN(2)/2)*AB90+(1-EXP(-LN(2)/2))/(LN(2)/2)*V91*Y91*VLOOKUP('Données projet'!$B$9,Paramètres!$A$1:$I$89,3,0)*0.475*44/12</f>
        <v>1.4497333032508219E-5</v>
      </c>
      <c r="AC91" s="22">
        <f t="shared" si="57"/>
        <v>108.05392355763188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-2.8421709430404007E-14</v>
      </c>
      <c r="AJ91" s="13">
        <f>AI91*VLOOKUP('Données projet'!$B$10,Paramètres!$A$1:$I$89,3,0)*VLOOKUP('Données projet'!$B$10,Paramètres!$A$1:$I$89,5,0)</f>
        <v>-1.7735146684572101E-14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150.88336605939878</v>
      </c>
      <c r="AO91" s="59">
        <f t="shared" si="90"/>
        <v>268.54782308462387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52.076698026595217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5.3222542970768932E-5</v>
      </c>
      <c r="AX91" s="21">
        <f t="shared" si="60"/>
        <v>52.076751249138191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3.4106051316484809E-13</v>
      </c>
      <c r="O92" s="13">
        <f>N92*VLOOKUP('Données projet'!$B$9,Paramètres!$A$1:$I$89,3,0)*VLOOKUP('Données projet'!$B$9,Paramètres!$A$1:$I$89,5,0)</f>
        <v>1.9065282685915009E-13</v>
      </c>
      <c r="P92" s="13">
        <f t="shared" si="87"/>
        <v>2.6568987209435707E-12</v>
      </c>
      <c r="Q92" s="20">
        <f t="shared" si="54"/>
        <v>4.959485612423072E-12</v>
      </c>
      <c r="R92" s="59">
        <f t="shared" si="55"/>
        <v>293.33333333333826</v>
      </c>
      <c r="S92" s="59">
        <f ca="1">AVERAGE(OFFSET($R$3,0,0,'Données projet'!$E$9+1,1))-AVERAGE(OFFSET($H$3,0,0,'Données projet'!$E$9+1,1))</f>
        <v>320.29885421543776</v>
      </c>
      <c r="T92" s="59">
        <f t="shared" si="88"/>
        <v>546.34638548793396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85.486803377125668</v>
      </c>
      <c r="AA92" s="21">
        <f>EXP(-LN(2)/25)*AA91+(1-EXP(-LN(2)/25))/(LN(2)/25)*Calculateur!V92*Calculateur!X92*VLOOKUP('Données projet'!$B$9,Paramètres!$A$1:$I$89,3,0)*0.475*44/12</f>
        <v>20.286889924625441</v>
      </c>
      <c r="AB92" s="21">
        <f>EXP(-LN(2)/2)*AB91+(1-EXP(-LN(2)/2))/(LN(2)/2)*V92*Y92*VLOOKUP('Données projet'!$B$9,Paramètres!$A$1:$I$89,3,0)*0.475*44/12</f>
        <v>1.0251162496406297E-5</v>
      </c>
      <c r="AC92" s="22">
        <f t="shared" si="57"/>
        <v>105.7737035529136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-2.8421709430404007E-14</v>
      </c>
      <c r="AJ92" s="13">
        <f>AI92*VLOOKUP('Données projet'!$B$10,Paramètres!$A$1:$I$89,3,0)*VLOOKUP('Données projet'!$B$10,Paramètres!$A$1:$I$89,5,0)</f>
        <v>-1.7735146684572101E-14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150.88336605939878</v>
      </c>
      <c r="AO92" s="59">
        <f t="shared" si="90"/>
        <v>268.54782308462387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51.05550574194308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3.7634021046623129E-5</v>
      </c>
      <c r="AX92" s="21">
        <f t="shared" si="60"/>
        <v>51.055543375964128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3.4106051316484809E-13</v>
      </c>
      <c r="O93" s="13">
        <f>N93*VLOOKUP('Données projet'!$B$9,Paramètres!$A$1:$I$89,3,0)*VLOOKUP('Données projet'!$B$9,Paramètres!$A$1:$I$89,5,0)</f>
        <v>1.9065282685915009E-13</v>
      </c>
      <c r="P93" s="13">
        <f t="shared" si="87"/>
        <v>2.6568987209435707E-12</v>
      </c>
      <c r="Q93" s="20">
        <f t="shared" si="54"/>
        <v>4.959485612423072E-12</v>
      </c>
      <c r="R93" s="59">
        <f t="shared" si="55"/>
        <v>293.33333333333826</v>
      </c>
      <c r="S93" s="59">
        <f ca="1">AVERAGE(OFFSET($R$3,0,0,'Données projet'!$E$9+1,1))-AVERAGE(OFFSET($H$3,0,0,'Données projet'!$E$9+1,1))</f>
        <v>320.29885421543776</v>
      </c>
      <c r="T93" s="59">
        <f t="shared" si="88"/>
        <v>546.34638548793396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83.810459304701723</v>
      </c>
      <c r="AA93" s="21">
        <f>EXP(-LN(2)/25)*AA92+(1-EXP(-LN(2)/25))/(LN(2)/25)*Calculateur!V93*Calculateur!X93*VLOOKUP('Données projet'!$B$9,Paramètres!$A$1:$I$89,3,0)*0.475*44/12</f>
        <v>19.732143852795385</v>
      </c>
      <c r="AB93" s="21">
        <f>EXP(-LN(2)/2)*AB92+(1-EXP(-LN(2)/2))/(LN(2)/2)*V93*Y93*VLOOKUP('Données projet'!$B$9,Paramètres!$A$1:$I$89,3,0)*0.475*44/12</f>
        <v>7.2486665162541097E-6</v>
      </c>
      <c r="AC93" s="22">
        <f t="shared" si="57"/>
        <v>103.54261040616363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-2.8421709430404007E-14</v>
      </c>
      <c r="AJ93" s="13">
        <f>AI93*VLOOKUP('Données projet'!$B$10,Paramètres!$A$1:$I$89,3,0)*VLOOKUP('Données projet'!$B$10,Paramètres!$A$1:$I$89,5,0)</f>
        <v>-1.7735146684572101E-14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150.88336605939878</v>
      </c>
      <c r="AO93" s="59">
        <f t="shared" si="90"/>
        <v>268.54782308462387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50.054338415127184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2.6611271485384466E-5</v>
      </c>
      <c r="AX93" s="21">
        <f t="shared" si="60"/>
        <v>50.054365026398671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3.4106051316484809E-13</v>
      </c>
      <c r="O94" s="13">
        <f>N94*VLOOKUP('Données projet'!$B$9,Paramètres!$A$1:$I$89,3,0)*VLOOKUP('Données projet'!$B$9,Paramètres!$A$1:$I$89,5,0)</f>
        <v>1.9065282685915009E-13</v>
      </c>
      <c r="P94" s="13">
        <f t="shared" si="87"/>
        <v>2.6568987209435707E-12</v>
      </c>
      <c r="Q94" s="20">
        <f t="shared" si="54"/>
        <v>4.959485612423072E-12</v>
      </c>
      <c r="R94" s="59">
        <f t="shared" si="55"/>
        <v>293.33333333333826</v>
      </c>
      <c r="S94" s="59">
        <f ca="1">AVERAGE(OFFSET($R$3,0,0,'Données projet'!$E$9+1,1))-AVERAGE(OFFSET($H$3,0,0,'Données projet'!$E$9+1,1))</f>
        <v>320.29885421543776</v>
      </c>
      <c r="T94" s="59">
        <f t="shared" si="88"/>
        <v>546.34638548793396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82.166987317069086</v>
      </c>
      <c r="AA94" s="21">
        <f>EXP(-LN(2)/25)*AA93+(1-EXP(-LN(2)/25))/(LN(2)/25)*Calculateur!V94*Calculateur!X94*VLOOKUP('Données projet'!$B$9,Paramètres!$A$1:$I$89,3,0)*0.475*44/12</f>
        <v>19.192567341472348</v>
      </c>
      <c r="AB94" s="21">
        <f>EXP(-LN(2)/2)*AB93+(1-EXP(-LN(2)/2))/(LN(2)/2)*V94*Y94*VLOOKUP('Données projet'!$B$9,Paramètres!$A$1:$I$89,3,0)*0.475*44/12</f>
        <v>5.1255812482031484E-6</v>
      </c>
      <c r="AC94" s="22">
        <f t="shared" si="57"/>
        <v>101.35955978412269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-2.8421709430404007E-14</v>
      </c>
      <c r="AJ94" s="13">
        <f>AI94*VLOOKUP('Données projet'!$B$10,Paramètres!$A$1:$I$89,3,0)*VLOOKUP('Données projet'!$B$10,Paramètres!$A$1:$I$89,5,0)</f>
        <v>-1.7735146684572101E-14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150.88336605939878</v>
      </c>
      <c r="AO94" s="59">
        <f t="shared" si="90"/>
        <v>268.54782308462387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49.072803368938374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1.8817010523311565E-5</v>
      </c>
      <c r="AX94" s="21">
        <f t="shared" si="60"/>
        <v>49.072822185948894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3.4106051316484809E-13</v>
      </c>
      <c r="O95" s="13">
        <f>N95*VLOOKUP('Données projet'!$B$9,Paramètres!$A$1:$I$89,3,0)*VLOOKUP('Données projet'!$B$9,Paramètres!$A$1:$I$89,5,0)</f>
        <v>1.9065282685915009E-13</v>
      </c>
      <c r="P95" s="13">
        <f t="shared" si="87"/>
        <v>2.6568987209435707E-12</v>
      </c>
      <c r="Q95" s="20">
        <f t="shared" si="54"/>
        <v>4.959485612423072E-12</v>
      </c>
      <c r="R95" s="59">
        <f t="shared" si="55"/>
        <v>293.33333333333826</v>
      </c>
      <c r="S95" s="59">
        <f ca="1">AVERAGE(OFFSET($R$3,0,0,'Données projet'!$E$9+1,1))-AVERAGE(OFFSET($H$3,0,0,'Données projet'!$E$9+1,1))</f>
        <v>320.29885421543776</v>
      </c>
      <c r="T95" s="59">
        <f t="shared" si="88"/>
        <v>546.34638548793396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80.555742812694987</v>
      </c>
      <c r="AA95" s="21">
        <f>EXP(-LN(2)/25)*AA94+(1-EXP(-LN(2)/25))/(LN(2)/25)*Calculateur!V95*Calculateur!X95*VLOOKUP('Données projet'!$B$9,Paramètres!$A$1:$I$89,3,0)*0.475*44/12</f>
        <v>18.667745578226533</v>
      </c>
      <c r="AB95" s="21">
        <f>EXP(-LN(2)/2)*AB94+(1-EXP(-LN(2)/2))/(LN(2)/2)*V95*Y95*VLOOKUP('Données projet'!$B$9,Paramètres!$A$1:$I$89,3,0)*0.475*44/12</f>
        <v>3.6243332581270549E-6</v>
      </c>
      <c r="AC95" s="22">
        <f t="shared" si="57"/>
        <v>99.223492015254777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-2.8421709430404007E-14</v>
      </c>
      <c r="AJ95" s="13">
        <f>AI95*VLOOKUP('Données projet'!$B$10,Paramètres!$A$1:$I$89,3,0)*VLOOKUP('Données projet'!$B$10,Paramètres!$A$1:$I$89,5,0)</f>
        <v>-1.7735146684572101E-14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150.88336605939878</v>
      </c>
      <c r="AO95" s="59">
        <f t="shared" si="90"/>
        <v>268.54782308462387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48.110515626328059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1.3305635742692233E-5</v>
      </c>
      <c r="AX95" s="21">
        <f t="shared" si="60"/>
        <v>48.110528931963799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3.4106051316484809E-13</v>
      </c>
      <c r="O96" s="13">
        <f>N96*VLOOKUP('Données projet'!$B$9,Paramètres!$A$1:$I$89,3,0)*VLOOKUP('Données projet'!$B$9,Paramètres!$A$1:$I$89,5,0)</f>
        <v>1.9065282685915009E-13</v>
      </c>
      <c r="P96" s="13">
        <f t="shared" si="87"/>
        <v>2.6568987209435707E-12</v>
      </c>
      <c r="Q96" s="20">
        <f t="shared" si="54"/>
        <v>4.959485612423072E-12</v>
      </c>
      <c r="R96" s="59">
        <f t="shared" si="55"/>
        <v>293.33333333333826</v>
      </c>
      <c r="S96" s="59">
        <f ca="1">AVERAGE(OFFSET($R$3,0,0,'Données projet'!$E$9+1,1))-AVERAGE(OFFSET($H$3,0,0,'Données projet'!$E$9+1,1))</f>
        <v>320.29885421543776</v>
      </c>
      <c r="T96" s="59">
        <f t="shared" si="88"/>
        <v>546.34638548793396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78.976093830289557</v>
      </c>
      <c r="AA96" s="21">
        <f>EXP(-LN(2)/25)*AA95+(1-EXP(-LN(2)/25))/(LN(2)/25)*Calculateur!V96*Calculateur!X96*VLOOKUP('Données projet'!$B$9,Paramètres!$A$1:$I$89,3,0)*0.475*44/12</f>
        <v>18.157275093695855</v>
      </c>
      <c r="AB96" s="21">
        <f>EXP(-LN(2)/2)*AB95+(1-EXP(-LN(2)/2))/(LN(2)/2)*V96*Y96*VLOOKUP('Données projet'!$B$9,Paramètres!$A$1:$I$89,3,0)*0.475*44/12</f>
        <v>2.5627906241015742E-6</v>
      </c>
      <c r="AC96" s="22">
        <f t="shared" si="57"/>
        <v>97.133371486776042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-2.8421709430404007E-14</v>
      </c>
      <c r="AJ96" s="13">
        <f>AI96*VLOOKUP('Données projet'!$B$10,Paramètres!$A$1:$I$89,3,0)*VLOOKUP('Données projet'!$B$10,Paramètres!$A$1:$I$89,5,0)</f>
        <v>-1.7735146684572101E-14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150.88336605939878</v>
      </c>
      <c r="AO96" s="59">
        <f t="shared" si="90"/>
        <v>268.54782308462387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47.167097759412769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9.4085052616557824E-6</v>
      </c>
      <c r="AX96" s="21">
        <f t="shared" si="60"/>
        <v>47.167107167918033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3.4106051316484809E-13</v>
      </c>
      <c r="O97" s="13">
        <f>N97*VLOOKUP('Données projet'!$B$9,Paramètres!$A$1:$I$89,3,0)*VLOOKUP('Données projet'!$B$9,Paramètres!$A$1:$I$89,5,0)</f>
        <v>1.9065282685915009E-13</v>
      </c>
      <c r="P97" s="13">
        <f t="shared" si="87"/>
        <v>2.6568987209435707E-12</v>
      </c>
      <c r="Q97" s="20">
        <f t="shared" si="54"/>
        <v>4.959485612423072E-12</v>
      </c>
      <c r="R97" s="59">
        <f t="shared" si="55"/>
        <v>293.33333333333826</v>
      </c>
      <c r="S97" s="59">
        <f ca="1">AVERAGE(OFFSET($R$3,0,0,'Données projet'!$E$9+1,1))-AVERAGE(OFFSET($H$3,0,0,'Données projet'!$E$9+1,1))</f>
        <v>320.29885421543776</v>
      </c>
      <c r="T97" s="59">
        <f t="shared" si="88"/>
        <v>546.34638548793396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77.427420800938364</v>
      </c>
      <c r="AA97" s="21">
        <f>EXP(-LN(2)/25)*AA96+(1-EXP(-LN(2)/25))/(LN(2)/25)*Calculateur!V97*Calculateur!X97*VLOOKUP('Données projet'!$B$9,Paramètres!$A$1:$I$89,3,0)*0.475*44/12</f>
        <v>17.660763451409142</v>
      </c>
      <c r="AB97" s="21">
        <f>EXP(-LN(2)/2)*AB96+(1-EXP(-LN(2)/2))/(LN(2)/2)*V97*Y97*VLOOKUP('Données projet'!$B$9,Paramètres!$A$1:$I$89,3,0)*0.475*44/12</f>
        <v>1.8121666290635274E-6</v>
      </c>
      <c r="AC97" s="22">
        <f t="shared" si="57"/>
        <v>95.088186064514133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-2.8421709430404007E-14</v>
      </c>
      <c r="AJ97" s="13">
        <f>AI97*VLOOKUP('Données projet'!$B$10,Paramètres!$A$1:$I$89,3,0)*VLOOKUP('Données projet'!$B$10,Paramètres!$A$1:$I$89,5,0)</f>
        <v>-1.7735146684572101E-14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150.88336605939878</v>
      </c>
      <c r="AO97" s="59">
        <f t="shared" si="90"/>
        <v>268.54782308462387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46.242179741439607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6.6528178713461165E-6</v>
      </c>
      <c r="AX97" s="21">
        <f t="shared" si="60"/>
        <v>46.24218639425748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3.4106051316484809E-13</v>
      </c>
      <c r="O98" s="13">
        <f>N98*VLOOKUP('Données projet'!$B$9,Paramètres!$A$1:$I$89,3,0)*VLOOKUP('Données projet'!$B$9,Paramètres!$A$1:$I$89,5,0)</f>
        <v>1.9065282685915009E-13</v>
      </c>
      <c r="P98" s="13">
        <f t="shared" si="87"/>
        <v>2.6568987209435707E-12</v>
      </c>
      <c r="Q98" s="20">
        <f t="shared" si="54"/>
        <v>4.959485612423072E-12</v>
      </c>
      <c r="R98" s="59">
        <f t="shared" si="55"/>
        <v>293.33333333333826</v>
      </c>
      <c r="S98" s="59">
        <f ca="1">AVERAGE(OFFSET($R$3,0,0,'Données projet'!$E$9+1,1))-AVERAGE(OFFSET($H$3,0,0,'Données projet'!$E$9+1,1))</f>
        <v>320.29885421543776</v>
      </c>
      <c r="T98" s="59">
        <f t="shared" si="88"/>
        <v>546.34638548793396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75.909116305095466</v>
      </c>
      <c r="AA98" s="21">
        <f>EXP(-LN(2)/25)*AA97+(1-EXP(-LN(2)/25))/(LN(2)/25)*Calculateur!V98*Calculateur!X98*VLOOKUP('Données projet'!$B$9,Paramètres!$A$1:$I$89,3,0)*0.475*44/12</f>
        <v>17.177828946091175</v>
      </c>
      <c r="AB98" s="21">
        <f>EXP(-LN(2)/2)*AB97+(1-EXP(-LN(2)/2))/(LN(2)/2)*V98*Y98*VLOOKUP('Données projet'!$B$9,Paramètres!$A$1:$I$89,3,0)*0.475*44/12</f>
        <v>1.2813953120507871E-6</v>
      </c>
      <c r="AC98" s="22">
        <f t="shared" si="57"/>
        <v>93.086946532581962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-2.8421709430404007E-14</v>
      </c>
      <c r="AJ98" s="13">
        <f>AI98*VLOOKUP('Données projet'!$B$10,Paramètres!$A$1:$I$89,3,0)*VLOOKUP('Données projet'!$B$10,Paramètres!$A$1:$I$89,5,0)</f>
        <v>-1.7735146684572101E-14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150.88336605939878</v>
      </c>
      <c r="AO98" s="59">
        <f t="shared" si="90"/>
        <v>268.54782308462387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45.335398801654613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4.7042526308278912E-6</v>
      </c>
      <c r="AX98" s="21">
        <f t="shared" si="60"/>
        <v>45.335403505907244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3.4106051316484809E-13</v>
      </c>
      <c r="O99" s="13">
        <f>N99*VLOOKUP('Données projet'!$B$9,Paramètres!$A$1:$I$89,3,0)*VLOOKUP('Données projet'!$B$9,Paramètres!$A$1:$I$89,5,0)</f>
        <v>1.9065282685915009E-13</v>
      </c>
      <c r="P99" s="13">
        <f t="shared" si="87"/>
        <v>2.6568987209435707E-12</v>
      </c>
      <c r="Q99" s="20">
        <f t="shared" ref="Q99:Q130" si="107">(O99+P99)*0.475*44/12</f>
        <v>4.959485612423072E-12</v>
      </c>
      <c r="R99" s="59">
        <f t="shared" si="55"/>
        <v>293.33333333333826</v>
      </c>
      <c r="S99" s="59">
        <f ca="1">AVERAGE(OFFSET($R$3,0,0,'Données projet'!$E$9+1,1))-AVERAGE(OFFSET($H$3,0,0,'Données projet'!$E$9+1,1))</f>
        <v>320.29885421543776</v>
      </c>
      <c r="T99" s="59">
        <f t="shared" si="88"/>
        <v>546.34638548793396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74.420584834341753</v>
      </c>
      <c r="AA99" s="21">
        <f>EXP(-LN(2)/25)*AA98+(1-EXP(-LN(2)/25))/(LN(2)/25)*Calculateur!V99*Calculateur!X99*VLOOKUP('Données projet'!$B$9,Paramètres!$A$1:$I$89,3,0)*0.475*44/12</f>
        <v>16.708100310217549</v>
      </c>
      <c r="AB99" s="21">
        <f>EXP(-LN(2)/2)*AB98+(1-EXP(-LN(2)/2))/(LN(2)/2)*V99*Y99*VLOOKUP('Données projet'!$B$9,Paramètres!$A$1:$I$89,3,0)*0.475*44/12</f>
        <v>9.0608331453176371E-7</v>
      </c>
      <c r="AC99" s="22">
        <f t="shared" si="57"/>
        <v>91.128686050642614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-2.8421709430404007E-14</v>
      </c>
      <c r="AJ99" s="13">
        <f>AI99*VLOOKUP('Données projet'!$B$10,Paramètres!$A$1:$I$89,3,0)*VLOOKUP('Données projet'!$B$10,Paramètres!$A$1:$I$89,5,0)</f>
        <v>-1.7735146684572101E-14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150.88336605939878</v>
      </c>
      <c r="AO99" s="59">
        <f t="shared" si="90"/>
        <v>268.54782308462387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44.446399283017037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3.3264089356730583E-6</v>
      </c>
      <c r="AX99" s="21">
        <f t="shared" si="60"/>
        <v>44.446402609425974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3.4106051316484809E-13</v>
      </c>
      <c r="O100" s="13">
        <f>N100*VLOOKUP('Données projet'!$B$9,Paramètres!$A$1:$I$89,3,0)*VLOOKUP('Données projet'!$B$9,Paramètres!$A$1:$I$89,5,0)</f>
        <v>1.9065282685915009E-13</v>
      </c>
      <c r="P100" s="13">
        <f t="shared" si="87"/>
        <v>2.6568987209435707E-12</v>
      </c>
      <c r="Q100" s="20">
        <f t="shared" si="107"/>
        <v>4.959485612423072E-12</v>
      </c>
      <c r="R100" s="59">
        <f t="shared" si="55"/>
        <v>293.33333333333826</v>
      </c>
      <c r="S100" s="59">
        <f ca="1">AVERAGE(OFFSET($R$3,0,0,'Données projet'!$E$9+1,1))-AVERAGE(OFFSET($H$3,0,0,'Données projet'!$E$9+1,1))</f>
        <v>320.29885421543776</v>
      </c>
      <c r="T100" s="59">
        <f t="shared" si="88"/>
        <v>546.34638548793396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72.96124255781497</v>
      </c>
      <c r="AA100" s="21">
        <f>EXP(-LN(2)/25)*AA99+(1-EXP(-LN(2)/25))/(LN(2)/25)*Calculateur!V100*Calculateur!X100*VLOOKUP('Données projet'!$B$9,Paramètres!$A$1:$I$89,3,0)*0.475*44/12</f>
        <v>16.251216428593843</v>
      </c>
      <c r="AB100" s="21">
        <f>EXP(-LN(2)/2)*AB99+(1-EXP(-LN(2)/2))/(LN(2)/2)*V100*Y100*VLOOKUP('Données projet'!$B$9,Paramètres!$A$1:$I$89,3,0)*0.475*44/12</f>
        <v>6.4069765602539355E-7</v>
      </c>
      <c r="AC100" s="22">
        <f t="shared" si="57"/>
        <v>89.212459627106469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-2.8421709430404007E-14</v>
      </c>
      <c r="AJ100" s="13">
        <f>AI100*VLOOKUP('Données projet'!$B$10,Paramètres!$A$1:$I$89,3,0)*VLOOKUP('Données projet'!$B$10,Paramètres!$A$1:$I$89,5,0)</f>
        <v>-1.7735146684572101E-14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150.88336605939878</v>
      </c>
      <c r="AO100" s="59">
        <f t="shared" si="90"/>
        <v>268.54782308462387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43.574832502703785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2.3521263154139456E-6</v>
      </c>
      <c r="AX100" s="21">
        <f t="shared" si="60"/>
        <v>43.574834854830101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3.4106051316484809E-13</v>
      </c>
      <c r="O101" s="13">
        <f>N101*VLOOKUP('Données projet'!$B$9,Paramètres!$A$1:$I$89,3,0)*VLOOKUP('Données projet'!$B$9,Paramètres!$A$1:$I$89,5,0)</f>
        <v>1.9065282685915009E-13</v>
      </c>
      <c r="P101" s="13">
        <f t="shared" si="87"/>
        <v>2.6568987209435707E-12</v>
      </c>
      <c r="Q101" s="20">
        <f t="shared" si="107"/>
        <v>4.959485612423072E-12</v>
      </c>
      <c r="R101" s="59">
        <f t="shared" si="55"/>
        <v>293.33333333333826</v>
      </c>
      <c r="S101" s="59">
        <f ca="1">AVERAGE(OFFSET($R$3,0,0,'Données projet'!$E$9+1,1))-AVERAGE(OFFSET($H$3,0,0,'Données projet'!$E$9+1,1))</f>
        <v>320.29885421543776</v>
      </c>
      <c r="T101" s="59">
        <f t="shared" si="88"/>
        <v>546.34638548793396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71.53051709321997</v>
      </c>
      <c r="AA101" s="21">
        <f>EXP(-LN(2)/25)*AA100+(1-EXP(-LN(2)/25))/(LN(2)/25)*Calculateur!V101*Calculateur!X101*VLOOKUP('Données projet'!$B$9,Paramètres!$A$1:$I$89,3,0)*0.475*44/12</f>
        <v>15.806826060739615</v>
      </c>
      <c r="AB101" s="21">
        <f>EXP(-LN(2)/2)*AB100+(1-EXP(-LN(2)/2))/(LN(2)/2)*V101*Y101*VLOOKUP('Données projet'!$B$9,Paramètres!$A$1:$I$89,3,0)*0.475*44/12</f>
        <v>4.5304165726588186E-7</v>
      </c>
      <c r="AC101" s="22">
        <f t="shared" si="57"/>
        <v>87.33734360700123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-2.8421709430404007E-14</v>
      </c>
      <c r="AJ101" s="13">
        <f>AI101*VLOOKUP('Données projet'!$B$10,Paramètres!$A$1:$I$89,3,0)*VLOOKUP('Données projet'!$B$10,Paramètres!$A$1:$I$89,5,0)</f>
        <v>-1.7735146684572101E-14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150.88336605939878</v>
      </c>
      <c r="AO101" s="59">
        <f t="shared" si="90"/>
        <v>268.54782308462387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42.720356615349232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1.6632044678365291E-6</v>
      </c>
      <c r="AX101" s="21">
        <f t="shared" si="60"/>
        <v>42.720358278553697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3.4106051316484809E-13</v>
      </c>
      <c r="O102" s="13">
        <f>N102*VLOOKUP('Données projet'!$B$9,Paramètres!$A$1:$I$89,3,0)*VLOOKUP('Données projet'!$B$9,Paramètres!$A$1:$I$89,5,0)</f>
        <v>1.9065282685915009E-13</v>
      </c>
      <c r="P102" s="13">
        <f t="shared" si="87"/>
        <v>2.6568987209435707E-12</v>
      </c>
      <c r="Q102" s="20">
        <f t="shared" si="107"/>
        <v>4.959485612423072E-12</v>
      </c>
      <c r="R102" s="59">
        <f t="shared" si="55"/>
        <v>293.33333333333826</v>
      </c>
      <c r="S102" s="59">
        <f ca="1">AVERAGE(OFFSET($R$3,0,0,'Données projet'!$E$9+1,1))-AVERAGE(OFFSET($H$3,0,0,'Données projet'!$E$9+1,1))</f>
        <v>320.29885421543776</v>
      </c>
      <c r="T102" s="59">
        <f t="shared" si="88"/>
        <v>546.34638548793396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70.127847282329313</v>
      </c>
      <c r="AA102" s="21">
        <f>EXP(-LN(2)/25)*AA101+(1-EXP(-LN(2)/25))/(LN(2)/25)*Calculateur!V102*Calculateur!X102*VLOOKUP('Données projet'!$B$9,Paramètres!$A$1:$I$89,3,0)*0.475*44/12</f>
        <v>15.374587570863834</v>
      </c>
      <c r="AB102" s="21">
        <f>EXP(-LN(2)/2)*AB101+(1-EXP(-LN(2)/2))/(LN(2)/2)*V102*Y102*VLOOKUP('Données projet'!$B$9,Paramètres!$A$1:$I$89,3,0)*0.475*44/12</f>
        <v>3.2034882801269678E-7</v>
      </c>
      <c r="AC102" s="22">
        <f t="shared" si="57"/>
        <v>85.502435173541983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-2.8421709430404007E-14</v>
      </c>
      <c r="AJ102" s="13">
        <f>AI102*VLOOKUP('Données projet'!$B$10,Paramètres!$A$1:$I$89,3,0)*VLOOKUP('Données projet'!$B$10,Paramètres!$A$1:$I$89,5,0)</f>
        <v>-1.7735146684572101E-14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150.88336605939878</v>
      </c>
      <c r="AO102" s="59">
        <f t="shared" si="90"/>
        <v>268.54782308462387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41.882636478966866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1.1760631577069728E-6</v>
      </c>
      <c r="AX102" s="21">
        <f t="shared" si="60"/>
        <v>41.882637655030024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3.4106051316484809E-13</v>
      </c>
      <c r="O103" s="13">
        <f>N103*VLOOKUP('Données projet'!$B$9,Paramètres!$A$1:$I$89,3,0)*VLOOKUP('Données projet'!$B$9,Paramètres!$A$1:$I$89,5,0)</f>
        <v>1.9065282685915009E-13</v>
      </c>
      <c r="P103" s="13">
        <f t="shared" si="87"/>
        <v>2.6568987209435707E-12</v>
      </c>
      <c r="Q103" s="20">
        <f t="shared" si="107"/>
        <v>4.959485612423072E-12</v>
      </c>
      <c r="R103" s="59">
        <f t="shared" si="55"/>
        <v>293.33333333333826</v>
      </c>
      <c r="S103" s="59">
        <f ca="1">AVERAGE(OFFSET($R$3,0,0,'Données projet'!$E$9+1,1))-AVERAGE(OFFSET($H$3,0,0,'Données projet'!$E$9+1,1))</f>
        <v>320.29885421543776</v>
      </c>
      <c r="T103" s="59">
        <f t="shared" si="88"/>
        <v>546.34638548793396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68.752682970886113</v>
      </c>
      <c r="AA103" s="21">
        <f>EXP(-LN(2)/25)*AA102+(1-EXP(-LN(2)/25))/(LN(2)/25)*Calculateur!V103*Calculateur!X103*VLOOKUP('Données projet'!$B$9,Paramètres!$A$1:$I$89,3,0)*0.475*44/12</f>
        <v>14.954168665224142</v>
      </c>
      <c r="AB103" s="21">
        <f>EXP(-LN(2)/2)*AB102+(1-EXP(-LN(2)/2))/(LN(2)/2)*V103*Y103*VLOOKUP('Données projet'!$B$9,Paramètres!$A$1:$I$89,3,0)*0.475*44/12</f>
        <v>2.2652082863294093E-7</v>
      </c>
      <c r="AC103" s="22">
        <f t="shared" si="57"/>
        <v>83.706851862631083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-2.8421709430404007E-14</v>
      </c>
      <c r="AJ103" s="13">
        <f>AI103*VLOOKUP('Données projet'!$B$10,Paramètres!$A$1:$I$89,3,0)*VLOOKUP('Données projet'!$B$10,Paramètres!$A$1:$I$89,5,0)</f>
        <v>-1.7735146684572101E-14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150.88336605939878</v>
      </c>
      <c r="AO103" s="59">
        <f t="shared" si="90"/>
        <v>268.54782308462387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41.061343523500128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8.3160223391826456E-7</v>
      </c>
      <c r="AX103" s="21">
        <f t="shared" si="60"/>
        <v>41.061344355102364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3.4106051316484809E-13</v>
      </c>
      <c r="O104" s="13">
        <f>N104*VLOOKUP('Données projet'!$B$9,Paramètres!$A$1:$I$89,3,0)*VLOOKUP('Données projet'!$B$9,Paramètres!$A$1:$I$89,5,0)</f>
        <v>1.9065282685915009E-13</v>
      </c>
      <c r="P104" s="13">
        <f t="shared" si="87"/>
        <v>2.6568987209435707E-12</v>
      </c>
      <c r="Q104" s="20">
        <f t="shared" si="107"/>
        <v>4.959485612423072E-12</v>
      </c>
      <c r="R104" s="59">
        <f t="shared" si="55"/>
        <v>293.33333333333826</v>
      </c>
      <c r="S104" s="59">
        <f ca="1">AVERAGE(OFFSET($R$3,0,0,'Données projet'!$E$9+1,1))-AVERAGE(OFFSET($H$3,0,0,'Données projet'!$E$9+1,1))</f>
        <v>320.29885421543776</v>
      </c>
      <c r="T104" s="59">
        <f t="shared" si="88"/>
        <v>546.34638548793396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67.404484792822913</v>
      </c>
      <c r="AA104" s="21">
        <f>EXP(-LN(2)/25)*AA103+(1-EXP(-LN(2)/25))/(LN(2)/25)*Calculateur!V104*Calculateur!X104*VLOOKUP('Données projet'!$B$9,Paramètres!$A$1:$I$89,3,0)*0.475*44/12</f>
        <v>14.545246136668036</v>
      </c>
      <c r="AB104" s="21">
        <f>EXP(-LN(2)/2)*AB103+(1-EXP(-LN(2)/2))/(LN(2)/2)*V104*Y104*VLOOKUP('Données projet'!$B$9,Paramètres!$A$1:$I$89,3,0)*0.475*44/12</f>
        <v>1.6017441400634839E-7</v>
      </c>
      <c r="AC104" s="22">
        <f t="shared" si="57"/>
        <v>81.949731089665363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-2.8421709430404007E-14</v>
      </c>
      <c r="AJ104" s="13">
        <f>AI104*VLOOKUP('Données projet'!$B$10,Paramètres!$A$1:$I$89,3,0)*VLOOKUP('Données projet'!$B$10,Paramètres!$A$1:$I$89,5,0)</f>
        <v>-1.7735146684572101E-14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150.88336605939878</v>
      </c>
      <c r="AO104" s="59">
        <f t="shared" si="90"/>
        <v>268.54782308462387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40.256155621950853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5.880315788534864E-7</v>
      </c>
      <c r="AX104" s="21">
        <f t="shared" si="60"/>
        <v>40.256156209982429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3.4106051316484809E-13</v>
      </c>
      <c r="O105" s="13">
        <f>N105*VLOOKUP('Données projet'!$B$9,Paramètres!$A$1:$I$89,3,0)*VLOOKUP('Données projet'!$B$9,Paramètres!$A$1:$I$89,5,0)</f>
        <v>1.9065282685915009E-13</v>
      </c>
      <c r="P105" s="13">
        <f t="shared" si="87"/>
        <v>2.6568987209435707E-12</v>
      </c>
      <c r="Q105" s="20">
        <f t="shared" si="107"/>
        <v>4.959485612423072E-12</v>
      </c>
      <c r="R105" s="59">
        <f t="shared" si="55"/>
        <v>293.33333333333826</v>
      </c>
      <c r="S105" s="59">
        <f ca="1">AVERAGE(OFFSET($R$3,0,0,'Données projet'!$E$9+1,1))-AVERAGE(OFFSET($H$3,0,0,'Données projet'!$E$9+1,1))</f>
        <v>320.29885421543776</v>
      </c>
      <c r="T105" s="59">
        <f t="shared" si="88"/>
        <v>546.34638548793396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66.082723958711838</v>
      </c>
      <c r="AA105" s="21">
        <f>EXP(-LN(2)/25)*AA104+(1-EXP(-LN(2)/25))/(LN(2)/25)*Calculateur!V105*Calculateur!X105*VLOOKUP('Données projet'!$B$9,Paramètres!$A$1:$I$89,3,0)*0.475*44/12</f>
        <v>14.147505616159597</v>
      </c>
      <c r="AB105" s="21">
        <f>EXP(-LN(2)/2)*AB104+(1-EXP(-LN(2)/2))/(LN(2)/2)*V105*Y105*VLOOKUP('Données projet'!$B$9,Paramètres!$A$1:$I$89,3,0)*0.475*44/12</f>
        <v>1.1326041431647046E-7</v>
      </c>
      <c r="AC105" s="22">
        <f t="shared" si="57"/>
        <v>80.230229688131843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-2.8421709430404007E-14</v>
      </c>
      <c r="AJ105" s="13">
        <f>AI105*VLOOKUP('Données projet'!$B$10,Paramètres!$A$1:$I$89,3,0)*VLOOKUP('Données projet'!$B$10,Paramètres!$A$1:$I$89,5,0)</f>
        <v>-1.7735146684572101E-14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150.88336605939878</v>
      </c>
      <c r="AO105" s="59">
        <f t="shared" si="90"/>
        <v>268.54782308462387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39.466756964034836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4.1580111695913228E-7</v>
      </c>
      <c r="AX105" s="21">
        <f t="shared" si="60"/>
        <v>39.466757379835954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3.4106051316484809E-13</v>
      </c>
      <c r="O106" s="13">
        <f>N106*VLOOKUP('Données projet'!$B$9,Paramètres!$A$1:$I$89,3,0)*VLOOKUP('Données projet'!$B$9,Paramètres!$A$1:$I$89,5,0)</f>
        <v>1.9065282685915009E-13</v>
      </c>
      <c r="P106" s="13">
        <f t="shared" si="87"/>
        <v>2.6568987209435707E-12</v>
      </c>
      <c r="Q106" s="20">
        <f t="shared" si="107"/>
        <v>4.959485612423072E-12</v>
      </c>
      <c r="R106" s="59">
        <f t="shared" si="55"/>
        <v>293.33333333333826</v>
      </c>
      <c r="S106" s="59">
        <f ca="1">AVERAGE(OFFSET($R$3,0,0,'Données projet'!$E$9+1,1))-AVERAGE(OFFSET($H$3,0,0,'Données projet'!$E$9+1,1))</f>
        <v>320.29885421543776</v>
      </c>
      <c r="T106" s="59">
        <f t="shared" si="88"/>
        <v>546.34638548793396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64.786882048363182</v>
      </c>
      <c r="AA106" s="21">
        <f>EXP(-LN(2)/25)*AA105+(1-EXP(-LN(2)/25))/(LN(2)/25)*Calculateur!V106*Calculateur!X106*VLOOKUP('Données projet'!$B$9,Paramètres!$A$1:$I$89,3,0)*0.475*44/12</f>
        <v>13.760641331100727</v>
      </c>
      <c r="AB106" s="21">
        <f>EXP(-LN(2)/2)*AB105+(1-EXP(-LN(2)/2))/(LN(2)/2)*V106*Y106*VLOOKUP('Données projet'!$B$9,Paramètres!$A$1:$I$89,3,0)*0.475*44/12</f>
        <v>8.0087207003174194E-8</v>
      </c>
      <c r="AC106" s="22">
        <f t="shared" si="57"/>
        <v>78.547523459551115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-2.8421709430404007E-14</v>
      </c>
      <c r="AJ106" s="13">
        <f>AI106*VLOOKUP('Données projet'!$B$10,Paramètres!$A$1:$I$89,3,0)*VLOOKUP('Données projet'!$B$10,Paramètres!$A$1:$I$89,5,0)</f>
        <v>-1.7735146684572101E-14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150.88336605939878</v>
      </c>
      <c r="AO106" s="59">
        <f t="shared" si="90"/>
        <v>268.54782308462387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38.692837932314916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2.940157894267432E-7</v>
      </c>
      <c r="AX106" s="21">
        <f t="shared" si="60"/>
        <v>38.692838226330707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3.4106051316484809E-13</v>
      </c>
      <c r="O107" s="13">
        <f>N107*VLOOKUP('Données projet'!$B$9,Paramètres!$A$1:$I$89,3,0)*VLOOKUP('Données projet'!$B$9,Paramètres!$A$1:$I$89,5,0)</f>
        <v>1.9065282685915009E-13</v>
      </c>
      <c r="P107" s="13">
        <f t="shared" si="87"/>
        <v>2.6568987209435707E-12</v>
      </c>
      <c r="Q107" s="20">
        <f t="shared" si="107"/>
        <v>4.959485612423072E-12</v>
      </c>
      <c r="R107" s="59">
        <f t="shared" si="55"/>
        <v>293.33333333333826</v>
      </c>
      <c r="S107" s="59">
        <f ca="1">AVERAGE(OFFSET($R$3,0,0,'Données projet'!$E$9+1,1))-AVERAGE(OFFSET($H$3,0,0,'Données projet'!$E$9+1,1))</f>
        <v>320.29885421543776</v>
      </c>
      <c r="T107" s="59">
        <f t="shared" si="88"/>
        <v>546.34638548793396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63.516450807490941</v>
      </c>
      <c r="AA107" s="21">
        <f>EXP(-LN(2)/25)*AA106+(1-EXP(-LN(2)/25))/(LN(2)/25)*Calculateur!V107*Calculateur!X107*VLOOKUP('Données projet'!$B$9,Paramètres!$A$1:$I$89,3,0)*0.475*44/12</f>
        <v>13.3843558702611</v>
      </c>
      <c r="AB107" s="21">
        <f>EXP(-LN(2)/2)*AB106+(1-EXP(-LN(2)/2))/(LN(2)/2)*V107*Y107*VLOOKUP('Données projet'!$B$9,Paramètres!$A$1:$I$89,3,0)*0.475*44/12</f>
        <v>5.6630207158235232E-8</v>
      </c>
      <c r="AC107" s="22">
        <f t="shared" si="57"/>
        <v>76.900806734382257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-2.8421709430404007E-14</v>
      </c>
      <c r="AJ107" s="13">
        <f>AI107*VLOOKUP('Données projet'!$B$10,Paramètres!$A$1:$I$89,3,0)*VLOOKUP('Données projet'!$B$10,Paramètres!$A$1:$I$89,5,0)</f>
        <v>-1.7735146684572101E-14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150.88336605939878</v>
      </c>
      <c r="AO107" s="59">
        <f t="shared" si="90"/>
        <v>268.54782308462387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37.934094980763021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2.0790055847956614E-7</v>
      </c>
      <c r="AX107" s="21">
        <f t="shared" si="60"/>
        <v>37.934095188663576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3.4106051316484809E-13</v>
      </c>
      <c r="O108" s="13">
        <f>N108*VLOOKUP('Données projet'!$B$9,Paramètres!$A$1:$I$89,3,0)*VLOOKUP('Données projet'!$B$9,Paramètres!$A$1:$I$89,5,0)</f>
        <v>1.9065282685915009E-13</v>
      </c>
      <c r="P108" s="13">
        <f t="shared" si="87"/>
        <v>2.6568987209435707E-12</v>
      </c>
      <c r="Q108" s="20">
        <f t="shared" si="107"/>
        <v>4.959485612423072E-12</v>
      </c>
      <c r="R108" s="59">
        <f t="shared" si="55"/>
        <v>293.33333333333826</v>
      </c>
      <c r="S108" s="59">
        <f ca="1">AVERAGE(OFFSET($R$3,0,0,'Données projet'!$E$9+1,1))-AVERAGE(OFFSET($H$3,0,0,'Données projet'!$E$9+1,1))</f>
        <v>320.29885421543776</v>
      </c>
      <c r="T108" s="59">
        <f t="shared" si="88"/>
        <v>546.34638548793396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62.270931948365657</v>
      </c>
      <c r="AA108" s="21">
        <f>EXP(-LN(2)/25)*AA107+(1-EXP(-LN(2)/25))/(LN(2)/25)*Calculateur!V108*Calculateur!X108*VLOOKUP('Données projet'!$B$9,Paramètres!$A$1:$I$89,3,0)*0.475*44/12</f>
        <v>13.018359955136125</v>
      </c>
      <c r="AB108" s="21">
        <f>EXP(-LN(2)/2)*AB107+(1-EXP(-LN(2)/2))/(LN(2)/2)*V108*Y108*VLOOKUP('Données projet'!$B$9,Paramètres!$A$1:$I$89,3,0)*0.475*44/12</f>
        <v>4.0043603501587097E-8</v>
      </c>
      <c r="AC108" s="22">
        <f t="shared" si="57"/>
        <v>75.289291943545379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-2.8421709430404007E-14</v>
      </c>
      <c r="AJ108" s="13">
        <f>AI108*VLOOKUP('Données projet'!$B$10,Paramètres!$A$1:$I$89,3,0)*VLOOKUP('Données projet'!$B$10,Paramètres!$A$1:$I$89,5,0)</f>
        <v>-1.7735146684572101E-14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150.88336605939878</v>
      </c>
      <c r="AO108" s="59">
        <f t="shared" si="90"/>
        <v>268.54782308462387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37.190230515703554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1.470078947133716E-7</v>
      </c>
      <c r="AX108" s="21">
        <f t="shared" si="60"/>
        <v>37.19023066271145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1.9065282685915009E-13</v>
      </c>
      <c r="P109" s="13">
        <f t="shared" si="87"/>
        <v>2.6568987209435707E-12</v>
      </c>
      <c r="Q109" s="20">
        <f t="shared" si="107"/>
        <v>4.959485612423072E-12</v>
      </c>
      <c r="R109" s="59">
        <f t="shared" si="55"/>
        <v>293.33333333333826</v>
      </c>
      <c r="S109" s="59">
        <f ca="1">AVERAGE(OFFSET($R$3,0,0,'Données projet'!$E$9+1,1))-AVERAGE(OFFSET($H$3,0,0,'Données projet'!$E$9+1,1))</f>
        <v>320.29885421543776</v>
      </c>
      <c r="T109" s="59">
        <f t="shared" si="88"/>
        <v>546.34638548793396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61.049836954376332</v>
      </c>
      <c r="AA109" s="21">
        <f>EXP(-LN(2)/25)*AA108+(1-EXP(-LN(2)/25))/(LN(2)/25)*Calculateur!V109*Calculateur!X109*VLOOKUP('Données projet'!$B$9,Paramètres!$A$1:$I$89,3,0)*0.475*44/12</f>
        <v>12.662372217557131</v>
      </c>
      <c r="AB109" s="21">
        <f>EXP(-LN(2)/2)*AB108+(1-EXP(-LN(2)/2))/(LN(2)/2)*V109*Y109*VLOOKUP('Données projet'!$B$9,Paramètres!$A$1:$I$89,3,0)*0.475*44/12</f>
        <v>2.8315103579117616E-8</v>
      </c>
      <c r="AC109" s="22">
        <f t="shared" si="57"/>
        <v>73.712209200248566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-2.8421709430404007E-14</v>
      </c>
      <c r="AJ109" s="13">
        <f>AI109*VLOOKUP('Données projet'!$B$10,Paramètres!$A$1:$I$89,3,0)*VLOOKUP('Données projet'!$B$10,Paramètres!$A$1:$I$89,5,0)</f>
        <v>-1.7735146684572101E-14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150.88336605939878</v>
      </c>
      <c r="AO109" s="59">
        <f t="shared" si="90"/>
        <v>268.54782308462387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36.460952779091386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1.0395027923978307E-7</v>
      </c>
      <c r="AX109" s="21">
        <f t="shared" si="60"/>
        <v>36.460952883041664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1.9065282685915009E-13</v>
      </c>
      <c r="P110" s="13">
        <f t="shared" si="87"/>
        <v>2.6568987209435707E-12</v>
      </c>
      <c r="Q110" s="20">
        <f t="shared" si="107"/>
        <v>4.959485612423072E-12</v>
      </c>
      <c r="R110" s="59">
        <f t="shared" si="55"/>
        <v>293.33333333333826</v>
      </c>
      <c r="S110" s="59">
        <f ca="1">AVERAGE(OFFSET($R$3,0,0,'Données projet'!$E$9+1,1))-AVERAGE(OFFSET($H$3,0,0,'Données projet'!$E$9+1,1))</f>
        <v>320.29885421543776</v>
      </c>
      <c r="T110" s="59">
        <f t="shared" si="88"/>
        <v>546.34638548793396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59.852686888424735</v>
      </c>
      <c r="AA110" s="21">
        <f>EXP(-LN(2)/25)*AA109+(1-EXP(-LN(2)/25))/(LN(2)/25)*Calculateur!V110*Calculateur!X110*VLOOKUP('Données projet'!$B$9,Paramètres!$A$1:$I$89,3,0)*0.475*44/12</f>
        <v>12.316118983382816</v>
      </c>
      <c r="AB110" s="21">
        <f>EXP(-LN(2)/2)*AB109+(1-EXP(-LN(2)/2))/(LN(2)/2)*V110*Y110*VLOOKUP('Données projet'!$B$9,Paramètres!$A$1:$I$89,3,0)*0.475*44/12</f>
        <v>2.0021801750793548E-8</v>
      </c>
      <c r="AC110" s="22">
        <f t="shared" si="57"/>
        <v>72.168805891829351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-2.8421709430404007E-14</v>
      </c>
      <c r="AJ110" s="13">
        <f>AI110*VLOOKUP('Données projet'!$B$10,Paramètres!$A$1:$I$89,3,0)*VLOOKUP('Données projet'!$B$10,Paramètres!$A$1:$I$89,5,0)</f>
        <v>-1.7735146684572101E-14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150.88336605939878</v>
      </c>
      <c r="AO110" s="59">
        <f t="shared" si="90"/>
        <v>268.54782308462387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35.745975734078684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7.35039473566858E-8</v>
      </c>
      <c r="AX110" s="21">
        <f t="shared" si="60"/>
        <v>35.745975807582631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1.9065282685915009E-13</v>
      </c>
      <c r="P111" s="13">
        <f t="shared" si="87"/>
        <v>2.6568987209435707E-12</v>
      </c>
      <c r="Q111" s="20">
        <f t="shared" si="107"/>
        <v>4.959485612423072E-12</v>
      </c>
      <c r="R111" s="59">
        <f t="shared" si="55"/>
        <v>293.33333333333826</v>
      </c>
      <c r="S111" s="59">
        <f ca="1">AVERAGE(OFFSET($R$3,0,0,'Données projet'!$E$9+1,1))-AVERAGE(OFFSET($H$3,0,0,'Données projet'!$E$9+1,1))</f>
        <v>320.29885421543776</v>
      </c>
      <c r="T111" s="59">
        <f t="shared" si="88"/>
        <v>546.34638548793396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58.679012205077008</v>
      </c>
      <c r="AA111" s="21">
        <f>EXP(-LN(2)/25)*AA110+(1-EXP(-LN(2)/25))/(LN(2)/25)*Calculateur!V111*Calculateur!X111*VLOOKUP('Données projet'!$B$9,Paramètres!$A$1:$I$89,3,0)*0.475*44/12</f>
        <v>11.979334062105664</v>
      </c>
      <c r="AB111" s="21">
        <f>EXP(-LN(2)/2)*AB110+(1-EXP(-LN(2)/2))/(LN(2)/2)*V111*Y111*VLOOKUP('Données projet'!$B$9,Paramètres!$A$1:$I$89,3,0)*0.475*44/12</f>
        <v>1.4157551789558808E-8</v>
      </c>
      <c r="AC111" s="22">
        <f t="shared" si="57"/>
        <v>70.658346281340229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-2.8421709430404007E-14</v>
      </c>
      <c r="AJ111" s="13">
        <f>AI111*VLOOKUP('Données projet'!$B$10,Paramètres!$A$1:$I$89,3,0)*VLOOKUP('Données projet'!$B$10,Paramètres!$A$1:$I$89,5,0)</f>
        <v>-1.7735146684572101E-14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150.88336605939878</v>
      </c>
      <c r="AO111" s="59">
        <f t="shared" si="90"/>
        <v>268.54782308462387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35.045018952825743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5.1975139619891535E-8</v>
      </c>
      <c r="AX111" s="21">
        <f t="shared" si="60"/>
        <v>35.045019004800885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1.9065282685915009E-13</v>
      </c>
      <c r="P112" s="13">
        <f t="shared" si="87"/>
        <v>2.6568987209435707E-12</v>
      </c>
      <c r="Q112" s="20">
        <f t="shared" si="107"/>
        <v>4.959485612423072E-12</v>
      </c>
      <c r="R112" s="59">
        <f t="shared" si="55"/>
        <v>293.33333333333826</v>
      </c>
      <c r="S112" s="59">
        <f ca="1">AVERAGE(OFFSET($R$3,0,0,'Données projet'!$E$9+1,1))-AVERAGE(OFFSET($H$3,0,0,'Données projet'!$E$9+1,1))</f>
        <v>320.29885421543776</v>
      </c>
      <c r="T112" s="59">
        <f t="shared" si="88"/>
        <v>546.34638548793396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57.528352566398858</v>
      </c>
      <c r="AA112" s="21">
        <f>EXP(-LN(2)/25)*AA111+(1-EXP(-LN(2)/25))/(LN(2)/25)*Calculateur!V112*Calculateur!X112*VLOOKUP('Données projet'!$B$9,Paramètres!$A$1:$I$89,3,0)*0.475*44/12</f>
        <v>11.651758542211585</v>
      </c>
      <c r="AB112" s="21">
        <f>EXP(-LN(2)/2)*AB111+(1-EXP(-LN(2)/2))/(LN(2)/2)*V112*Y112*VLOOKUP('Données projet'!$B$9,Paramètres!$A$1:$I$89,3,0)*0.475*44/12</f>
        <v>1.0010900875396774E-8</v>
      </c>
      <c r="AC112" s="22">
        <f t="shared" si="57"/>
        <v>69.180111118621355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-2.8421709430404007E-14</v>
      </c>
      <c r="AJ112" s="13">
        <f>AI112*VLOOKUP('Données projet'!$B$10,Paramètres!$A$1:$I$89,3,0)*VLOOKUP('Données projet'!$B$10,Paramètres!$A$1:$I$89,5,0)</f>
        <v>-1.7735146684572101E-14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150.88336605939878</v>
      </c>
      <c r="AO112" s="59">
        <f t="shared" si="90"/>
        <v>268.54782308462387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34.357807506511747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3.67519736783429E-8</v>
      </c>
      <c r="AX112" s="21">
        <f t="shared" si="60"/>
        <v>34.357807543263718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1.9065282685915009E-13</v>
      </c>
      <c r="P113" s="13">
        <f t="shared" si="87"/>
        <v>2.6568987209435707E-12</v>
      </c>
      <c r="Q113" s="20">
        <f t="shared" si="107"/>
        <v>4.959485612423072E-12</v>
      </c>
      <c r="R113" s="59">
        <f t="shared" si="55"/>
        <v>293.33333333333826</v>
      </c>
      <c r="S113" s="59">
        <f ca="1">AVERAGE(OFFSET($R$3,0,0,'Données projet'!$E$9+1,1))-AVERAGE(OFFSET($H$3,0,0,'Données projet'!$E$9+1,1))</f>
        <v>320.29885421543776</v>
      </c>
      <c r="T113" s="59">
        <f t="shared" si="88"/>
        <v>546.34638548793396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56.400256661402111</v>
      </c>
      <c r="AA113" s="21">
        <f>EXP(-LN(2)/25)*AA112+(1-EXP(-LN(2)/25))/(LN(2)/25)*Calculateur!V113*Calculateur!X113*VLOOKUP('Données projet'!$B$9,Paramètres!$A$1:$I$89,3,0)*0.475*44/12</f>
        <v>11.333140592135457</v>
      </c>
      <c r="AB113" s="21">
        <f>EXP(-LN(2)/2)*AB112+(1-EXP(-LN(2)/2))/(LN(2)/2)*V113*Y113*VLOOKUP('Données projet'!$B$9,Paramètres!$A$1:$I$89,3,0)*0.475*44/12</f>
        <v>7.078775894779404E-9</v>
      </c>
      <c r="AC113" s="22">
        <f t="shared" si="57"/>
        <v>67.733397260616343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-2.8421709430404007E-14</v>
      </c>
      <c r="AJ113" s="13">
        <f>AI113*VLOOKUP('Données projet'!$B$10,Paramètres!$A$1:$I$89,3,0)*VLOOKUP('Données projet'!$B$10,Paramètres!$A$1:$I$89,5,0)</f>
        <v>-1.7735146684572101E-14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150.88336605939878</v>
      </c>
      <c r="AO113" s="59">
        <f t="shared" si="90"/>
        <v>268.54782308462387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33.684071857502381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2.5987569809945768E-8</v>
      </c>
      <c r="AX113" s="21">
        <f t="shared" si="60"/>
        <v>33.684071883489949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1.9065282685915009E-13</v>
      </c>
      <c r="P114" s="13">
        <f t="shared" si="87"/>
        <v>2.6568987209435707E-12</v>
      </c>
      <c r="Q114" s="20">
        <f t="shared" si="107"/>
        <v>4.959485612423072E-12</v>
      </c>
      <c r="R114" s="59">
        <f t="shared" si="55"/>
        <v>293.33333333333826</v>
      </c>
      <c r="S114" s="59">
        <f ca="1">AVERAGE(OFFSET($R$3,0,0,'Données projet'!$E$9+1,1))-AVERAGE(OFFSET($H$3,0,0,'Données projet'!$E$9+1,1))</f>
        <v>320.29885421543776</v>
      </c>
      <c r="T114" s="59">
        <f t="shared" si="88"/>
        <v>546.34638548793396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55.294282029031784</v>
      </c>
      <c r="AA114" s="21">
        <f>EXP(-LN(2)/25)*AA113+(1-EXP(-LN(2)/25))/(LN(2)/25)*Calculateur!V114*Calculateur!X114*VLOOKUP('Données projet'!$B$9,Paramètres!$A$1:$I$89,3,0)*0.475*44/12</f>
        <v>11.023235266659551</v>
      </c>
      <c r="AB114" s="21">
        <f>EXP(-LN(2)/2)*AB113+(1-EXP(-LN(2)/2))/(LN(2)/2)*V114*Y114*VLOOKUP('Données projet'!$B$9,Paramètres!$A$1:$I$89,3,0)*0.475*44/12</f>
        <v>5.0054504376983871E-9</v>
      </c>
      <c r="AC114" s="22">
        <f t="shared" si="57"/>
        <v>66.317517300696778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-2.8421709430404007E-14</v>
      </c>
      <c r="AJ114" s="13">
        <f>AI114*VLOOKUP('Données projet'!$B$10,Paramètres!$A$1:$I$89,3,0)*VLOOKUP('Données projet'!$B$10,Paramètres!$A$1:$I$89,5,0)</f>
        <v>-1.7735146684572101E-14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150.88336605939878</v>
      </c>
      <c r="AO114" s="59">
        <f t="shared" si="90"/>
        <v>268.54782308462387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33.023547753631917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1.837598683917145E-8</v>
      </c>
      <c r="AX114" s="21">
        <f t="shared" si="60"/>
        <v>33.023547772007902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1.9065282685915009E-13</v>
      </c>
      <c r="P115" s="13">
        <f t="shared" si="87"/>
        <v>2.6568987209435707E-12</v>
      </c>
      <c r="Q115" s="20">
        <f t="shared" si="107"/>
        <v>4.959485612423072E-12</v>
      </c>
      <c r="R115" s="59">
        <f t="shared" si="55"/>
        <v>293.33333333333826</v>
      </c>
      <c r="S115" s="59">
        <f ca="1">AVERAGE(OFFSET($R$3,0,0,'Données projet'!$E$9+1,1))-AVERAGE(OFFSET($H$3,0,0,'Données projet'!$E$9+1,1))</f>
        <v>320.29885421543776</v>
      </c>
      <c r="T115" s="59">
        <f t="shared" si="88"/>
        <v>546.34638548793396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54.209994884624322</v>
      </c>
      <c r="AA115" s="21">
        <f>EXP(-LN(2)/25)*AA114+(1-EXP(-LN(2)/25))/(LN(2)/25)*Calculateur!V115*Calculateur!X115*VLOOKUP('Données projet'!$B$9,Paramètres!$A$1:$I$89,3,0)*0.475*44/12</f>
        <v>10.721804318605997</v>
      </c>
      <c r="AB115" s="21">
        <f>EXP(-LN(2)/2)*AB114+(1-EXP(-LN(2)/2))/(LN(2)/2)*V115*Y115*VLOOKUP('Données projet'!$B$9,Paramètres!$A$1:$I$89,3,0)*0.475*44/12</f>
        <v>3.539387947389702E-9</v>
      </c>
      <c r="AC115" s="22">
        <f t="shared" si="57"/>
        <v>64.931799206769711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-2.8421709430404007E-14</v>
      </c>
      <c r="AJ115" s="13">
        <f>AI115*VLOOKUP('Données projet'!$B$10,Paramètres!$A$1:$I$89,3,0)*VLOOKUP('Données projet'!$B$10,Paramètres!$A$1:$I$89,5,0)</f>
        <v>-1.7735146684572101E-14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150.88336605939878</v>
      </c>
      <c r="AO115" s="59">
        <f t="shared" si="90"/>
        <v>268.54782308462387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32.375976124558427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1.2993784904972884E-8</v>
      </c>
      <c r="AX115" s="21">
        <f t="shared" si="60"/>
        <v>32.375976137552215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1.9065282685915009E-13</v>
      </c>
      <c r="P116" s="13">
        <f t="shared" si="87"/>
        <v>2.6568987209435707E-12</v>
      </c>
      <c r="Q116" s="20">
        <f t="shared" si="107"/>
        <v>4.959485612423072E-12</v>
      </c>
      <c r="R116" s="59">
        <f t="shared" si="55"/>
        <v>293.33333333333826</v>
      </c>
      <c r="S116" s="59">
        <f ca="1">AVERAGE(OFFSET($R$3,0,0,'Données projet'!$E$9+1,1))-AVERAGE(OFFSET($H$3,0,0,'Données projet'!$E$9+1,1))</f>
        <v>320.29885421543776</v>
      </c>
      <c r="T116" s="59">
        <f t="shared" si="88"/>
        <v>546.34638548793396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53.146969949768838</v>
      </c>
      <c r="AA116" s="21">
        <f>EXP(-LN(2)/25)*AA115+(1-EXP(-LN(2)/25))/(LN(2)/25)*Calculateur!V116*Calculateur!X116*VLOOKUP('Données projet'!$B$9,Paramètres!$A$1:$I$89,3,0)*0.475*44/12</f>
        <v>10.428616015678532</v>
      </c>
      <c r="AB116" s="21">
        <f>EXP(-LN(2)/2)*AB115+(1-EXP(-LN(2)/2))/(LN(2)/2)*V116*Y116*VLOOKUP('Données projet'!$B$9,Paramètres!$A$1:$I$89,3,0)*0.475*44/12</f>
        <v>2.5027252188491936E-9</v>
      </c>
      <c r="AC116" s="22">
        <f t="shared" si="57"/>
        <v>63.575585967950097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-2.8421709430404007E-14</v>
      </c>
      <c r="AJ116" s="13">
        <f>AI116*VLOOKUP('Données projet'!$B$10,Paramètres!$A$1:$I$89,3,0)*VLOOKUP('Données projet'!$B$10,Paramètres!$A$1:$I$89,5,0)</f>
        <v>-1.7735146684572101E-14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150.88336605939878</v>
      </c>
      <c r="AO116" s="59">
        <f t="shared" si="90"/>
        <v>268.54782308462387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31.741102980151378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9.187993419585725E-9</v>
      </c>
      <c r="AX116" s="21">
        <f t="shared" si="60"/>
        <v>31.741102989339371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1.9065282685915009E-13</v>
      </c>
      <c r="P117" s="13">
        <f t="shared" si="87"/>
        <v>2.6568987209435707E-12</v>
      </c>
      <c r="Q117" s="20">
        <f t="shared" si="107"/>
        <v>4.959485612423072E-12</v>
      </c>
      <c r="R117" s="59">
        <f t="shared" si="55"/>
        <v>293.33333333333826</v>
      </c>
      <c r="S117" s="59">
        <f ca="1">AVERAGE(OFFSET($R$3,0,0,'Données projet'!$E$9+1,1))-AVERAGE(OFFSET($H$3,0,0,'Données projet'!$E$9+1,1))</f>
        <v>320.29885421543776</v>
      </c>
      <c r="T117" s="59">
        <f t="shared" si="88"/>
        <v>546.34638548793396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52.104790285504684</v>
      </c>
      <c r="AA117" s="21">
        <f>EXP(-LN(2)/25)*AA116+(1-EXP(-LN(2)/25))/(LN(2)/25)*Calculateur!V117*Calculateur!X117*VLOOKUP('Données projet'!$B$9,Paramètres!$A$1:$I$89,3,0)*0.475*44/12</f>
        <v>10.143444962312721</v>
      </c>
      <c r="AB117" s="21">
        <f>EXP(-LN(2)/2)*AB116+(1-EXP(-LN(2)/2))/(LN(2)/2)*V117*Y117*VLOOKUP('Données projet'!$B$9,Paramètres!$A$1:$I$89,3,0)*0.475*44/12</f>
        <v>1.769693973694851E-9</v>
      </c>
      <c r="AC117" s="22">
        <f t="shared" si="57"/>
        <v>62.248235249587097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-2.8421709430404007E-14</v>
      </c>
      <c r="AJ117" s="13">
        <f>AI117*VLOOKUP('Données projet'!$B$10,Paramètres!$A$1:$I$89,3,0)*VLOOKUP('Données projet'!$B$10,Paramètres!$A$1:$I$89,5,0)</f>
        <v>-1.7735146684572101E-14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150.88336605939878</v>
      </c>
      <c r="AO117" s="59">
        <f t="shared" si="90"/>
        <v>268.54782308462387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31.118679310871769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6.4968924524864419E-9</v>
      </c>
      <c r="AX117" s="21">
        <f t="shared" si="60"/>
        <v>31.118679317368663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1.9065282685915009E-13</v>
      </c>
      <c r="P118" s="13">
        <f t="shared" si="87"/>
        <v>2.6568987209435707E-12</v>
      </c>
      <c r="Q118" s="20">
        <f t="shared" si="107"/>
        <v>4.959485612423072E-12</v>
      </c>
      <c r="R118" s="59">
        <f t="shared" si="55"/>
        <v>293.33333333333826</v>
      </c>
      <c r="S118" s="59">
        <f ca="1">AVERAGE(OFFSET($R$3,0,0,'Données projet'!$E$9+1,1))-AVERAGE(OFFSET($H$3,0,0,'Données projet'!$E$9+1,1))</f>
        <v>320.29885421543776</v>
      </c>
      <c r="T118" s="59">
        <f t="shared" si="88"/>
        <v>546.34638548793396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51.083047128789921</v>
      </c>
      <c r="AA118" s="21">
        <f>EXP(-LN(2)/25)*AA117+(1-EXP(-LN(2)/25))/(LN(2)/25)*Calculateur!V118*Calculateur!X118*VLOOKUP('Données projet'!$B$9,Paramètres!$A$1:$I$89,3,0)*0.475*44/12</f>
        <v>9.8660719263976926</v>
      </c>
      <c r="AB118" s="21">
        <f>EXP(-LN(2)/2)*AB117+(1-EXP(-LN(2)/2))/(LN(2)/2)*V118*Y118*VLOOKUP('Données projet'!$B$9,Paramètres!$A$1:$I$89,3,0)*0.475*44/12</f>
        <v>1.2513626094245968E-9</v>
      </c>
      <c r="AC118" s="22">
        <f t="shared" si="57"/>
        <v>60.949119056438981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-2.8421709430404007E-14</v>
      </c>
      <c r="AJ118" s="13">
        <f>AI118*VLOOKUP('Données projet'!$B$10,Paramètres!$A$1:$I$89,3,0)*VLOOKUP('Données projet'!$B$10,Paramètres!$A$1:$I$89,5,0)</f>
        <v>-1.7735146684572101E-14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150.88336605939878</v>
      </c>
      <c r="AO118" s="59">
        <f t="shared" si="90"/>
        <v>268.54782308462387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30.508460990105782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4.5939967097928625E-9</v>
      </c>
      <c r="AX118" s="21">
        <f t="shared" si="60"/>
        <v>30.508460994699778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1.9065282685915009E-13</v>
      </c>
      <c r="P119" s="13">
        <f t="shared" si="87"/>
        <v>2.6568987209435707E-12</v>
      </c>
      <c r="Q119" s="20">
        <f t="shared" si="107"/>
        <v>4.959485612423072E-12</v>
      </c>
      <c r="R119" s="59">
        <f t="shared" si="55"/>
        <v>293.33333333333826</v>
      </c>
      <c r="S119" s="59">
        <f ca="1">AVERAGE(OFFSET($R$3,0,0,'Données projet'!$E$9+1,1))-AVERAGE(OFFSET($H$3,0,0,'Données projet'!$E$9+1,1))</f>
        <v>320.29885421543776</v>
      </c>
      <c r="T119" s="59">
        <f t="shared" si="88"/>
        <v>546.34638548793396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50.081339732176545</v>
      </c>
      <c r="AA119" s="21">
        <f>EXP(-LN(2)/25)*AA118+(1-EXP(-LN(2)/25))/(LN(2)/25)*Calculateur!V119*Calculateur!X119*VLOOKUP('Données projet'!$B$9,Paramètres!$A$1:$I$89,3,0)*0.475*44/12</f>
        <v>9.5962836707361738</v>
      </c>
      <c r="AB119" s="21">
        <f>EXP(-LN(2)/2)*AB118+(1-EXP(-LN(2)/2))/(LN(2)/2)*V119*Y119*VLOOKUP('Données projet'!$B$9,Paramètres!$A$1:$I$89,3,0)*0.475*44/12</f>
        <v>8.848469868474255E-10</v>
      </c>
      <c r="AC119" s="22">
        <f t="shared" si="57"/>
        <v>59.677623403797561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-2.8421709430404007E-14</v>
      </c>
      <c r="AJ119" s="13">
        <f>AI119*VLOOKUP('Données projet'!$B$10,Paramètres!$A$1:$I$89,3,0)*VLOOKUP('Données projet'!$B$10,Paramètres!$A$1:$I$89,5,0)</f>
        <v>-1.7735146684572101E-14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150.88336605939878</v>
      </c>
      <c r="AO119" s="59">
        <f t="shared" si="90"/>
        <v>268.54782308462387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29.910208678413593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3.2484462262432209E-9</v>
      </c>
      <c r="AX119" s="21">
        <f t="shared" si="60"/>
        <v>29.910208681662038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1.9065282685915009E-13</v>
      </c>
      <c r="P120" s="13">
        <f t="shared" si="87"/>
        <v>2.6568987209435707E-12</v>
      </c>
      <c r="Q120" s="20">
        <f t="shared" si="107"/>
        <v>4.959485612423072E-12</v>
      </c>
      <c r="R120" s="59">
        <f t="shared" si="55"/>
        <v>293.33333333333826</v>
      </c>
      <c r="S120" s="59">
        <f ca="1">AVERAGE(OFFSET($R$3,0,0,'Données projet'!$E$9+1,1))-AVERAGE(OFFSET($H$3,0,0,'Données projet'!$E$9+1,1))</f>
        <v>320.29885421543776</v>
      </c>
      <c r="T120" s="59">
        <f t="shared" si="88"/>
        <v>546.34638548793396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49.099275206629571</v>
      </c>
      <c r="AA120" s="21">
        <f>EXP(-LN(2)/25)*AA119+(1-EXP(-LN(2)/25))/(LN(2)/25)*Calculateur!V120*Calculateur!X120*VLOOKUP('Données projet'!$B$9,Paramètres!$A$1:$I$89,3,0)*0.475*44/12</f>
        <v>9.3338727891132667</v>
      </c>
      <c r="AB120" s="21">
        <f>EXP(-LN(2)/2)*AB119+(1-EXP(-LN(2)/2))/(LN(2)/2)*V120*Y120*VLOOKUP('Données projet'!$B$9,Paramètres!$A$1:$I$89,3,0)*0.475*44/12</f>
        <v>6.2568130471229839E-10</v>
      </c>
      <c r="AC120" s="22">
        <f t="shared" si="57"/>
        <v>58.433147996368518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-2.8421709430404007E-14</v>
      </c>
      <c r="AJ120" s="13">
        <f>AI120*VLOOKUP('Données projet'!$B$10,Paramètres!$A$1:$I$89,3,0)*VLOOKUP('Données projet'!$B$10,Paramètres!$A$1:$I$89,5,0)</f>
        <v>-1.7735146684572101E-14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150.88336605939878</v>
      </c>
      <c r="AO120" s="59">
        <f t="shared" si="90"/>
        <v>268.54782308462387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29.323687729655806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2.2969983548964312E-9</v>
      </c>
      <c r="AX120" s="21">
        <f t="shared" si="60"/>
        <v>29.323687731952806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1.9065282685915009E-13</v>
      </c>
      <c r="P121" s="13">
        <f t="shared" si="87"/>
        <v>2.6568987209435707E-12</v>
      </c>
      <c r="Q121" s="20">
        <f t="shared" si="107"/>
        <v>4.959485612423072E-12</v>
      </c>
      <c r="R121" s="59">
        <f t="shared" si="55"/>
        <v>293.33333333333826</v>
      </c>
      <c r="S121" s="59">
        <f ca="1">AVERAGE(OFFSET($R$3,0,0,'Données projet'!$E$9+1,1))-AVERAGE(OFFSET($H$3,0,0,'Données projet'!$E$9+1,1))</f>
        <v>320.29885421543776</v>
      </c>
      <c r="T121" s="59">
        <f t="shared" si="88"/>
        <v>546.34638548793396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48.136468367428364</v>
      </c>
      <c r="AA121" s="21">
        <f>EXP(-LN(2)/25)*AA120+(1-EXP(-LN(2)/25))/(LN(2)/25)*Calculateur!V121*Calculateur!X121*VLOOKUP('Données projet'!$B$9,Paramètres!$A$1:$I$89,3,0)*0.475*44/12</f>
        <v>9.0786375468479275</v>
      </c>
      <c r="AB121" s="21">
        <f>EXP(-LN(2)/2)*AB120+(1-EXP(-LN(2)/2))/(LN(2)/2)*V121*Y121*VLOOKUP('Données projet'!$B$9,Paramètres!$A$1:$I$89,3,0)*0.475*44/12</f>
        <v>4.4242349342371275E-10</v>
      </c>
      <c r="AC121" s="22">
        <f t="shared" si="57"/>
        <v>57.21510591471872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-2.8421709430404007E-14</v>
      </c>
      <c r="AJ121" s="13">
        <f>AI121*VLOOKUP('Données projet'!$B$10,Paramètres!$A$1:$I$89,3,0)*VLOOKUP('Données projet'!$B$10,Paramètres!$A$1:$I$89,5,0)</f>
        <v>-1.7735146684572101E-14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150.88336605939878</v>
      </c>
      <c r="AO121" s="59">
        <f t="shared" si="90"/>
        <v>268.54782308462387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28.748668098960707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1.6242231131216105E-9</v>
      </c>
      <c r="AX121" s="21">
        <f t="shared" si="60"/>
        <v>28.748668100584929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1.9065282685915009E-13</v>
      </c>
      <c r="P122" s="13">
        <f t="shared" si="87"/>
        <v>2.6568987209435707E-12</v>
      </c>
      <c r="Q122" s="20">
        <f t="shared" si="107"/>
        <v>4.959485612423072E-12</v>
      </c>
      <c r="R122" s="59">
        <f t="shared" si="55"/>
        <v>293.33333333333826</v>
      </c>
      <c r="S122" s="59">
        <f ca="1">AVERAGE(OFFSET($R$3,0,0,'Données projet'!$E$9+1,1))-AVERAGE(OFFSET($H$3,0,0,'Données projet'!$E$9+1,1))</f>
        <v>320.29885421543776</v>
      </c>
      <c r="T122" s="59">
        <f t="shared" si="88"/>
        <v>546.34638548793396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47.192541583089707</v>
      </c>
      <c r="AA122" s="21">
        <f>EXP(-LN(2)/25)*AA121+(1-EXP(-LN(2)/25))/(LN(2)/25)*Calculateur!V122*Calculateur!X122*VLOOKUP('Données projet'!$B$9,Paramètres!$A$1:$I$89,3,0)*0.475*44/12</f>
        <v>8.8303817257045711</v>
      </c>
      <c r="AB122" s="21">
        <f>EXP(-LN(2)/2)*AB121+(1-EXP(-LN(2)/2))/(LN(2)/2)*V122*Y122*VLOOKUP('Données projet'!$B$9,Paramètres!$A$1:$I$89,3,0)*0.475*44/12</f>
        <v>3.128406523561492E-10</v>
      </c>
      <c r="AC122" s="22">
        <f t="shared" si="57"/>
        <v>56.022923309107114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-2.8421709430404007E-14</v>
      </c>
      <c r="AJ122" s="13">
        <f>AI122*VLOOKUP('Données projet'!$B$10,Paramètres!$A$1:$I$89,3,0)*VLOOKUP('Données projet'!$B$10,Paramètres!$A$1:$I$89,5,0)</f>
        <v>-1.7735146684572101E-14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150.88336605939878</v>
      </c>
      <c r="AO122" s="59">
        <f t="shared" si="90"/>
        <v>268.54782308462387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28.184924252496195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1.1484991774482156E-9</v>
      </c>
      <c r="AX122" s="21">
        <f t="shared" si="60"/>
        <v>28.184924253644695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1.9065282685915009E-13</v>
      </c>
      <c r="P123" s="13">
        <f t="shared" si="87"/>
        <v>2.6568987209435707E-12</v>
      </c>
      <c r="Q123" s="20">
        <f t="shared" si="107"/>
        <v>4.959485612423072E-12</v>
      </c>
      <c r="R123" s="59">
        <f t="shared" si="55"/>
        <v>293.33333333333826</v>
      </c>
      <c r="S123" s="59">
        <f ca="1">AVERAGE(OFFSET($R$3,0,0,'Données projet'!$E$9+1,1))-AVERAGE(OFFSET($H$3,0,0,'Données projet'!$E$9+1,1))</f>
        <v>320.29885421543776</v>
      </c>
      <c r="T123" s="59">
        <f t="shared" si="88"/>
        <v>546.34638548793396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46.267124627253438</v>
      </c>
      <c r="AA123" s="21">
        <f>EXP(-LN(2)/25)*AA122+(1-EXP(-LN(2)/25))/(LN(2)/25)*Calculateur!V123*Calculateur!X123*VLOOKUP('Données projet'!$B$9,Paramètres!$A$1:$I$89,3,0)*0.475*44/12</f>
        <v>8.5889144730455875</v>
      </c>
      <c r="AB123" s="21">
        <f>EXP(-LN(2)/2)*AB122+(1-EXP(-LN(2)/2))/(LN(2)/2)*V123*Y123*VLOOKUP('Données projet'!$B$9,Paramètres!$A$1:$I$89,3,0)*0.475*44/12</f>
        <v>2.2121174671185638E-10</v>
      </c>
      <c r="AC123" s="22">
        <f t="shared" si="57"/>
        <v>54.856039100520242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-2.8421709430404007E-14</v>
      </c>
      <c r="AJ123" s="13">
        <f>AI123*VLOOKUP('Données projet'!$B$10,Paramètres!$A$1:$I$89,3,0)*VLOOKUP('Données projet'!$B$10,Paramètres!$A$1:$I$89,5,0)</f>
        <v>-1.7735146684572101E-14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150.88336605939878</v>
      </c>
      <c r="AO123" s="59">
        <f t="shared" si="90"/>
        <v>268.54782308462387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27.632235079011057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8.1211155656080524E-10</v>
      </c>
      <c r="AX123" s="21">
        <f t="shared" si="60"/>
        <v>27.632235079823168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1.9065282685915009E-13</v>
      </c>
      <c r="P124" s="13">
        <f t="shared" si="87"/>
        <v>2.6568987209435707E-12</v>
      </c>
      <c r="Q124" s="20">
        <f t="shared" si="107"/>
        <v>4.959485612423072E-12</v>
      </c>
      <c r="R124" s="59">
        <f t="shared" si="55"/>
        <v>293.33333333333826</v>
      </c>
      <c r="S124" s="59">
        <f ca="1">AVERAGE(OFFSET($R$3,0,0,'Données projet'!$E$9+1,1))-AVERAGE(OFFSET($H$3,0,0,'Données projet'!$E$9+1,1))</f>
        <v>320.29885421543776</v>
      </c>
      <c r="T124" s="59">
        <f t="shared" si="88"/>
        <v>546.34638548793396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45.359854533472515</v>
      </c>
      <c r="AA124" s="21">
        <f>EXP(-LN(2)/25)*AA123+(1-EXP(-LN(2)/25))/(LN(2)/25)*Calculateur!V124*Calculateur!X124*VLOOKUP('Données projet'!$B$9,Paramètres!$A$1:$I$89,3,0)*0.475*44/12</f>
        <v>8.3540501551087747</v>
      </c>
      <c r="AB124" s="21">
        <f>EXP(-LN(2)/2)*AB123+(1-EXP(-LN(2)/2))/(LN(2)/2)*V124*Y124*VLOOKUP('Données projet'!$B$9,Paramètres!$A$1:$I$89,3,0)*0.475*44/12</f>
        <v>1.564203261780746E-10</v>
      </c>
      <c r="AC124" s="22">
        <f t="shared" si="57"/>
        <v>53.713904688737706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-2.8421709430404007E-14</v>
      </c>
      <c r="AJ124" s="13">
        <f>AI124*VLOOKUP('Données projet'!$B$10,Paramètres!$A$1:$I$89,3,0)*VLOOKUP('Données projet'!$B$10,Paramètres!$A$1:$I$89,5,0)</f>
        <v>-1.7735146684572101E-14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150.88336605939878</v>
      </c>
      <c r="AO124" s="59">
        <f t="shared" si="90"/>
        <v>268.54782308462387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27.090383803110853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5.7424958872410781E-10</v>
      </c>
      <c r="AX124" s="21">
        <f t="shared" si="60"/>
        <v>27.090383803685103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1.9065282685915009E-13</v>
      </c>
      <c r="P125" s="13">
        <f t="shared" si="87"/>
        <v>2.6568987209435707E-12</v>
      </c>
      <c r="Q125" s="20">
        <f t="shared" si="107"/>
        <v>4.959485612423072E-12</v>
      </c>
      <c r="R125" s="59">
        <f t="shared" si="55"/>
        <v>293.33333333333826</v>
      </c>
      <c r="S125" s="59">
        <f ca="1">AVERAGE(OFFSET($R$3,0,0,'Données projet'!$E$9+1,1))-AVERAGE(OFFSET($H$3,0,0,'Données projet'!$E$9+1,1))</f>
        <v>320.29885421543776</v>
      </c>
      <c r="T125" s="59">
        <f t="shared" si="88"/>
        <v>546.34638548793396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44.470375452850519</v>
      </c>
      <c r="AA125" s="21">
        <f>EXP(-LN(2)/25)*AA124+(1-EXP(-LN(2)/25))/(LN(2)/25)*Calculateur!V125*Calculateur!X125*VLOOKUP('Données projet'!$B$9,Paramètres!$A$1:$I$89,3,0)*0.475*44/12</f>
        <v>8.1256082142969213</v>
      </c>
      <c r="AB125" s="21">
        <f>EXP(-LN(2)/2)*AB124+(1-EXP(-LN(2)/2))/(LN(2)/2)*V125*Y125*VLOOKUP('Données projet'!$B$9,Paramètres!$A$1:$I$89,3,0)*0.475*44/12</f>
        <v>1.1060587335592819E-10</v>
      </c>
      <c r="AC125" s="22">
        <f t="shared" si="57"/>
        <v>52.595983667258039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-2.8421709430404007E-14</v>
      </c>
      <c r="AJ125" s="13">
        <f>AI125*VLOOKUP('Données projet'!$B$10,Paramètres!$A$1:$I$89,3,0)*VLOOKUP('Données projet'!$B$10,Paramètres!$A$1:$I$89,5,0)</f>
        <v>-1.7735146684572101E-14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150.88336605939878</v>
      </c>
      <c r="AO125" s="59">
        <f t="shared" si="90"/>
        <v>268.54782308462387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26.55915790023441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4.0605577828040262E-10</v>
      </c>
      <c r="AX125" s="21">
        <f t="shared" si="60"/>
        <v>26.559157900640468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1.9065282685915009E-13</v>
      </c>
      <c r="P126" s="13">
        <f t="shared" si="87"/>
        <v>2.6568987209435707E-12</v>
      </c>
      <c r="Q126" s="20">
        <f t="shared" si="107"/>
        <v>4.959485612423072E-12</v>
      </c>
      <c r="R126" s="59">
        <f t="shared" si="55"/>
        <v>293.33333333333826</v>
      </c>
      <c r="S126" s="59">
        <f ca="1">AVERAGE(OFFSET($R$3,0,0,'Données projet'!$E$9+1,1))-AVERAGE(OFFSET($H$3,0,0,'Données projet'!$E$9+1,1))</f>
        <v>320.29885421543776</v>
      </c>
      <c r="T126" s="59">
        <f t="shared" si="88"/>
        <v>546.34638548793396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43.598338514470846</v>
      </c>
      <c r="AA126" s="21">
        <f>EXP(-LN(2)/25)*AA125+(1-EXP(-LN(2)/25))/(LN(2)/25)*Calculateur!V126*Calculateur!X126*VLOOKUP('Données projet'!$B$9,Paramètres!$A$1:$I$89,3,0)*0.475*44/12</f>
        <v>7.9034130303698076</v>
      </c>
      <c r="AB126" s="21">
        <f>EXP(-LN(2)/2)*AB125+(1-EXP(-LN(2)/2))/(LN(2)/2)*V126*Y126*VLOOKUP('Données projet'!$B$9,Paramètres!$A$1:$I$89,3,0)*0.475*44/12</f>
        <v>7.8210163089037299E-11</v>
      </c>
      <c r="AC126" s="22">
        <f t="shared" si="57"/>
        <v>51.501751544918861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-2.8421709430404007E-14</v>
      </c>
      <c r="AJ126" s="13">
        <f>AI126*VLOOKUP('Données projet'!$B$10,Paramètres!$A$1:$I$89,3,0)*VLOOKUP('Données projet'!$B$10,Paramètres!$A$1:$I$89,5,0)</f>
        <v>-1.7735146684572101E-14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150.88336605939878</v>
      </c>
      <c r="AO126" s="59">
        <f t="shared" si="90"/>
        <v>268.54782308462387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26.038349013297566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2.871247943620539E-10</v>
      </c>
      <c r="AX126" s="21">
        <f t="shared" si="60"/>
        <v>26.038349013584689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1.9065282685915009E-13</v>
      </c>
      <c r="P127" s="13">
        <f t="shared" si="87"/>
        <v>2.6568987209435707E-12</v>
      </c>
      <c r="Q127" s="20">
        <f t="shared" si="107"/>
        <v>4.959485612423072E-12</v>
      </c>
      <c r="R127" s="59">
        <f t="shared" si="55"/>
        <v>293.33333333333826</v>
      </c>
      <c r="S127" s="59">
        <f ca="1">AVERAGE(OFFSET($R$3,0,0,'Données projet'!$E$9+1,1))-AVERAGE(OFFSET($H$3,0,0,'Données projet'!$E$9+1,1))</f>
        <v>320.29885421543776</v>
      </c>
      <c r="T127" s="59">
        <f t="shared" si="88"/>
        <v>546.34638548793396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42.743401688562791</v>
      </c>
      <c r="AA127" s="21">
        <f>EXP(-LN(2)/25)*AA126+(1-EXP(-LN(2)/25))/(LN(2)/25)*Calculateur!V127*Calculateur!X127*VLOOKUP('Données projet'!$B$9,Paramètres!$A$1:$I$89,3,0)*0.475*44/12</f>
        <v>7.6872937854319172</v>
      </c>
      <c r="AB127" s="21">
        <f>EXP(-LN(2)/2)*AB126+(1-EXP(-LN(2)/2))/(LN(2)/2)*V127*Y127*VLOOKUP('Données projet'!$B$9,Paramètres!$A$1:$I$89,3,0)*0.475*44/12</f>
        <v>5.5302936677964094E-11</v>
      </c>
      <c r="AC127" s="22">
        <f t="shared" si="57"/>
        <v>50.430695474050012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-2.8421709430404007E-14</v>
      </c>
      <c r="AJ127" s="13">
        <f>AI127*VLOOKUP('Données projet'!$B$10,Paramètres!$A$1:$I$89,3,0)*VLOOKUP('Données projet'!$B$10,Paramètres!$A$1:$I$89,5,0)</f>
        <v>-1.7735146684572101E-14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150.88336605939878</v>
      </c>
      <c r="AO127" s="59">
        <f t="shared" si="90"/>
        <v>268.54782308462387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25.527752870971497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2.0302788914020131E-10</v>
      </c>
      <c r="AX127" s="21">
        <f t="shared" si="60"/>
        <v>25.527752871174524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1.9065282685915009E-13</v>
      </c>
      <c r="P128" s="13">
        <f t="shared" si="87"/>
        <v>2.6568987209435707E-12</v>
      </c>
      <c r="Q128" s="20">
        <f t="shared" si="107"/>
        <v>4.959485612423072E-12</v>
      </c>
      <c r="R128" s="59">
        <f t="shared" si="55"/>
        <v>293.33333333333826</v>
      </c>
      <c r="S128" s="59">
        <f ca="1">AVERAGE(OFFSET($R$3,0,0,'Données projet'!$E$9+1,1))-AVERAGE(OFFSET($H$3,0,0,'Données projet'!$E$9+1,1))</f>
        <v>320.29885421543776</v>
      </c>
      <c r="T128" s="59">
        <f t="shared" si="88"/>
        <v>546.34638548793396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41.905229652350819</v>
      </c>
      <c r="AA128" s="21">
        <f>EXP(-LN(2)/25)*AA127+(1-EXP(-LN(2)/25))/(LN(2)/25)*Calculateur!V128*Calculateur!X128*VLOOKUP('Données projet'!$B$9,Paramètres!$A$1:$I$89,3,0)*0.475*44/12</f>
        <v>7.4770843326120708</v>
      </c>
      <c r="AB128" s="21">
        <f>EXP(-LN(2)/2)*AB127+(1-EXP(-LN(2)/2))/(LN(2)/2)*V128*Y128*VLOOKUP('Données projet'!$B$9,Paramètres!$A$1:$I$89,3,0)*0.475*44/12</f>
        <v>3.9105081544518649E-11</v>
      </c>
      <c r="AC128" s="22">
        <f t="shared" si="57"/>
        <v>49.382313985002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-2.8421709430404007E-14</v>
      </c>
      <c r="AJ128" s="13">
        <f>AI128*VLOOKUP('Données projet'!$B$10,Paramètres!$A$1:$I$89,3,0)*VLOOKUP('Données projet'!$B$10,Paramètres!$A$1:$I$89,5,0)</f>
        <v>-1.7735146684572101E-14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150.88336605939878</v>
      </c>
      <c r="AO128" s="59">
        <f t="shared" si="90"/>
        <v>268.54782308462387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25.027169207563549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1.4356239718102695E-10</v>
      </c>
      <c r="AX128" s="21">
        <f t="shared" si="60"/>
        <v>25.027169207707111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1.9065282685915009E-13</v>
      </c>
      <c r="P129" s="13">
        <f t="shared" si="87"/>
        <v>2.6568987209435707E-12</v>
      </c>
      <c r="Q129" s="20">
        <f t="shared" si="107"/>
        <v>4.959485612423072E-12</v>
      </c>
      <c r="R129" s="59">
        <f t="shared" si="55"/>
        <v>293.33333333333826</v>
      </c>
      <c r="S129" s="59">
        <f ca="1">AVERAGE(OFFSET($R$3,0,0,'Données projet'!$E$9+1,1))-AVERAGE(OFFSET($H$3,0,0,'Données projet'!$E$9+1,1))</f>
        <v>320.29885421543776</v>
      </c>
      <c r="T129" s="59">
        <f t="shared" si="88"/>
        <v>546.34638548793396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41.083493658534501</v>
      </c>
      <c r="AA129" s="21">
        <f>EXP(-LN(2)/25)*AA128+(1-EXP(-LN(2)/25))/(LN(2)/25)*Calculateur!V129*Calculateur!X129*VLOOKUP('Données projet'!$B$9,Paramètres!$A$1:$I$89,3,0)*0.475*44/12</f>
        <v>7.2726230683340178</v>
      </c>
      <c r="AB129" s="21">
        <f>EXP(-LN(2)/2)*AB128+(1-EXP(-LN(2)/2))/(LN(2)/2)*V129*Y129*VLOOKUP('Données projet'!$B$9,Paramètres!$A$1:$I$89,3,0)*0.475*44/12</f>
        <v>2.7651468338982047E-11</v>
      </c>
      <c r="AC129" s="22">
        <f t="shared" si="57"/>
        <v>48.356116726896175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-2.8421709430404007E-14</v>
      </c>
      <c r="AJ129" s="13">
        <f>AI129*VLOOKUP('Données projet'!$B$10,Paramètres!$A$1:$I$89,3,0)*VLOOKUP('Données projet'!$B$10,Paramètres!$A$1:$I$89,5,0)</f>
        <v>-1.7735146684572101E-14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150.88336605939878</v>
      </c>
      <c r="AO129" s="59">
        <f t="shared" si="90"/>
        <v>268.54782308462387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24.536401684469144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1.0151394457010065E-10</v>
      </c>
      <c r="AX129" s="21">
        <f t="shared" si="60"/>
        <v>24.536401684570659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1.9065282685915009E-13</v>
      </c>
      <c r="P130" s="13">
        <f t="shared" si="87"/>
        <v>2.6568987209435707E-12</v>
      </c>
      <c r="Q130" s="20">
        <f t="shared" si="107"/>
        <v>4.959485612423072E-12</v>
      </c>
      <c r="R130" s="59">
        <f t="shared" si="55"/>
        <v>293.33333333333826</v>
      </c>
      <c r="S130" s="59">
        <f ca="1">AVERAGE(OFFSET($R$3,0,0,'Données projet'!$E$9+1,1))-AVERAGE(OFFSET($H$3,0,0,'Données projet'!$E$9+1,1))</f>
        <v>320.29885421543776</v>
      </c>
      <c r="T130" s="59">
        <f t="shared" si="88"/>
        <v>546.34638548793396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40.277871406347451</v>
      </c>
      <c r="AA130" s="21">
        <f>EXP(-LN(2)/25)*AA129+(1-EXP(-LN(2)/25))/(LN(2)/25)*Calculateur!V130*Calculateur!X130*VLOOKUP('Données projet'!$B$9,Paramètres!$A$1:$I$89,3,0)*0.475*44/12</f>
        <v>7.0737528080797984</v>
      </c>
      <c r="AB130" s="21">
        <f>EXP(-LN(2)/2)*AB129+(1-EXP(-LN(2)/2))/(LN(2)/2)*V130*Y130*VLOOKUP('Données projet'!$B$9,Paramètres!$A$1:$I$89,3,0)*0.475*44/12</f>
        <v>1.9552540772259325E-11</v>
      </c>
      <c r="AC130" s="22">
        <f t="shared" si="57"/>
        <v>47.351624214446801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-2.8421709430404007E-14</v>
      </c>
      <c r="AJ130" s="13">
        <f>AI130*VLOOKUP('Données projet'!$B$10,Paramètres!$A$1:$I$89,3,0)*VLOOKUP('Données projet'!$B$10,Paramètres!$A$1:$I$89,5,0)</f>
        <v>-1.7735146684572101E-14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150.88336605939878</v>
      </c>
      <c r="AO130" s="59">
        <f t="shared" si="90"/>
        <v>268.54782308462387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24.05525781316399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7.1781198590513476E-11</v>
      </c>
      <c r="AX130" s="21">
        <f t="shared" si="60"/>
        <v>24.055257813235773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1.9065282685915009E-13</v>
      </c>
      <c r="P131" s="13">
        <f t="shared" si="87"/>
        <v>2.6568987209435707E-12</v>
      </c>
      <c r="Q131" s="20">
        <f t="shared" ref="Q131:Q153" si="108">(O131+P131)*0.475*44/12</f>
        <v>4.959485612423072E-12</v>
      </c>
      <c r="R131" s="59">
        <f t="shared" ref="R131:R194" si="109">Q131+(I131+J131)*44/12</f>
        <v>293.33333333333826</v>
      </c>
      <c r="S131" s="59">
        <f ca="1">AVERAGE(OFFSET($R$3,0,0,'Données projet'!$E$9+1,1))-AVERAGE(OFFSET($H$3,0,0,'Données projet'!$E$9+1,1))</f>
        <v>320.29885421543776</v>
      </c>
      <c r="T131" s="59">
        <f t="shared" si="88"/>
        <v>546.34638548793396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39.488046915144736</v>
      </c>
      <c r="AA131" s="21">
        <f>EXP(-LN(2)/25)*AA130+(1-EXP(-LN(2)/25))/(LN(2)/25)*Calculateur!V131*Calculateur!X131*VLOOKUP('Données projet'!$B$9,Paramètres!$A$1:$I$89,3,0)*0.475*44/12</f>
        <v>6.8803206655503635</v>
      </c>
      <c r="AB131" s="21">
        <f>EXP(-LN(2)/2)*AB130+(1-EXP(-LN(2)/2))/(LN(2)/2)*V131*Y131*VLOOKUP('Données projet'!$B$9,Paramètres!$A$1:$I$89,3,0)*0.475*44/12</f>
        <v>1.3825734169491023E-11</v>
      </c>
      <c r="AC131" s="22">
        <f t="shared" si="57"/>
        <v>46.368367580708927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-2.8421709430404007E-14</v>
      </c>
      <c r="AJ131" s="13">
        <f>AI131*VLOOKUP('Données projet'!$B$10,Paramètres!$A$1:$I$89,3,0)*VLOOKUP('Données projet'!$B$10,Paramètres!$A$1:$I$89,5,0)</f>
        <v>-1.7735146684572101E-14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150.88336605939878</v>
      </c>
      <c r="AO131" s="59">
        <f t="shared" si="90"/>
        <v>268.54782308462387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23.583548879706346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5.0756972285050327E-11</v>
      </c>
      <c r="AX131" s="21">
        <f t="shared" si="60"/>
        <v>23.583548879757103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1.9065282685915009E-13</v>
      </c>
      <c r="P132" s="13">
        <f t="shared" si="87"/>
        <v>2.6568987209435707E-12</v>
      </c>
      <c r="Q132" s="20">
        <f t="shared" si="108"/>
        <v>4.959485612423072E-12</v>
      </c>
      <c r="R132" s="59">
        <f t="shared" si="109"/>
        <v>293.33333333333826</v>
      </c>
      <c r="S132" s="59">
        <f ca="1">AVERAGE(OFFSET($R$3,0,0,'Données projet'!$E$9+1,1))-AVERAGE(OFFSET($H$3,0,0,'Données projet'!$E$9+1,1))</f>
        <v>320.29885421543776</v>
      </c>
      <c r="T132" s="59">
        <f t="shared" si="88"/>
        <v>546.34638548793396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38.713710400469139</v>
      </c>
      <c r="AA132" s="21">
        <f>EXP(-LN(2)/25)*AA131+(1-EXP(-LN(2)/25))/(LN(2)/25)*Calculateur!V132*Calculateur!X132*VLOOKUP('Données projet'!$B$9,Paramètres!$A$1:$I$89,3,0)*0.475*44/12</f>
        <v>6.6921779351305499</v>
      </c>
      <c r="AB132" s="21">
        <f>EXP(-LN(2)/2)*AB131+(1-EXP(-LN(2)/2))/(LN(2)/2)*V132*Y132*VLOOKUP('Données projet'!$B$9,Paramètres!$A$1:$I$89,3,0)*0.475*44/12</f>
        <v>9.7762703861296624E-12</v>
      </c>
      <c r="AC132" s="22">
        <f t="shared" ref="AC132:AC153" si="111">SUM(Z132:AB132)</f>
        <v>45.405888335609468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-2.8421709430404007E-14</v>
      </c>
      <c r="AJ132" s="13">
        <f>AI132*VLOOKUP('Données projet'!$B$10,Paramètres!$A$1:$I$89,3,0)*VLOOKUP('Données projet'!$B$10,Paramètres!$A$1:$I$89,5,0)</f>
        <v>-1.7735146684572101E-14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150.88336605939878</v>
      </c>
      <c r="AO132" s="59">
        <f t="shared" si="90"/>
        <v>268.54782308462387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23.121089870719764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3.5890599295256738E-11</v>
      </c>
      <c r="AX132" s="21">
        <f t="shared" ref="AX132:AX153" si="114">SUM(AU132:AW132)</f>
        <v>23.121089870755654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1.9065282685915009E-13</v>
      </c>
      <c r="P133" s="13">
        <f t="shared" ref="P133:P196" si="141">EXP(-1.0587+0.8836*LN(O133)+0.284)</f>
        <v>2.6568987209435707E-12</v>
      </c>
      <c r="Q133" s="20">
        <f t="shared" si="108"/>
        <v>4.959485612423072E-12</v>
      </c>
      <c r="R133" s="59">
        <f t="shared" si="109"/>
        <v>293.33333333333826</v>
      </c>
      <c r="S133" s="59">
        <f ca="1">AVERAGE(OFFSET($R$3,0,0,'Données projet'!$E$9+1,1))-AVERAGE(OFFSET($H$3,0,0,'Données projet'!$E$9+1,1))</f>
        <v>320.29885421543776</v>
      </c>
      <c r="T133" s="59">
        <f t="shared" ref="T133:T196" si="142">$T$3</f>
        <v>546.34638548793396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37.95455815254769</v>
      </c>
      <c r="AA133" s="21">
        <f>EXP(-LN(2)/25)*AA132+(1-EXP(-LN(2)/25))/(LN(2)/25)*Calculateur!V133*Calculateur!X133*VLOOKUP('Données projet'!$B$9,Paramètres!$A$1:$I$89,3,0)*0.475*44/12</f>
        <v>6.5091799775680625</v>
      </c>
      <c r="AB133" s="21">
        <f>EXP(-LN(2)/2)*AB132+(1-EXP(-LN(2)/2))/(LN(2)/2)*V133*Y133*VLOOKUP('Données projet'!$B$9,Paramètres!$A$1:$I$89,3,0)*0.475*44/12</f>
        <v>6.9128670847455117E-12</v>
      </c>
      <c r="AC133" s="22">
        <f t="shared" si="111"/>
        <v>44.463738130122664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-2.8421709430404007E-14</v>
      </c>
      <c r="AJ133" s="13">
        <f>AI133*VLOOKUP('Données projet'!$B$10,Paramètres!$A$1:$I$89,3,0)*VLOOKUP('Données projet'!$B$10,Paramètres!$A$1:$I$89,5,0)</f>
        <v>-1.7735146684572101E-14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150.88336605939878</v>
      </c>
      <c r="AO133" s="59">
        <f t="shared" ref="AO133:AO196" si="144">$AO$3</f>
        <v>268.54782308462387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22.667699400827267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2.5378486142525164E-11</v>
      </c>
      <c r="AX133" s="21">
        <f t="shared" si="114"/>
        <v>22.667699400852644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1.9065282685915009E-13</v>
      </c>
      <c r="P134" s="13">
        <f t="shared" si="141"/>
        <v>2.6568987209435707E-12</v>
      </c>
      <c r="Q134" s="20">
        <f t="shared" si="108"/>
        <v>4.959485612423072E-12</v>
      </c>
      <c r="R134" s="59">
        <f t="shared" si="109"/>
        <v>293.33333333333826</v>
      </c>
      <c r="S134" s="59">
        <f ca="1">AVERAGE(OFFSET($R$3,0,0,'Données projet'!$E$9+1,1))-AVERAGE(OFFSET($H$3,0,0,'Données projet'!$E$9+1,1))</f>
        <v>320.29885421543776</v>
      </c>
      <c r="T134" s="59">
        <f t="shared" si="142"/>
        <v>546.34638548793396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37.210292417170834</v>
      </c>
      <c r="AA134" s="21">
        <f>EXP(-LN(2)/25)*AA133+(1-EXP(-LN(2)/25))/(LN(2)/25)*Calculateur!V134*Calculateur!X134*VLOOKUP('Données projet'!$B$9,Paramètres!$A$1:$I$89,3,0)*0.475*44/12</f>
        <v>6.3311861087785655</v>
      </c>
      <c r="AB134" s="21">
        <f>EXP(-LN(2)/2)*AB133+(1-EXP(-LN(2)/2))/(LN(2)/2)*V134*Y134*VLOOKUP('Données projet'!$B$9,Paramètres!$A$1:$I$89,3,0)*0.475*44/12</f>
        <v>4.8881351930648312E-12</v>
      </c>
      <c r="AC134" s="22">
        <f t="shared" si="111"/>
        <v>43.54147852595429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-2.8421709430404007E-14</v>
      </c>
      <c r="AJ134" s="13">
        <f>AI134*VLOOKUP('Données projet'!$B$10,Paramètres!$A$1:$I$89,3,0)*VLOOKUP('Données projet'!$B$10,Paramètres!$A$1:$I$89,5,0)</f>
        <v>-1.7735146684572101E-14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150.88336605939878</v>
      </c>
      <c r="AO134" s="59">
        <f t="shared" si="144"/>
        <v>268.54782308462387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22.223199641508483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1.7945299647628369E-11</v>
      </c>
      <c r="AX134" s="21">
        <f t="shared" si="114"/>
        <v>22.223199641526428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1.9065282685915009E-13</v>
      </c>
      <c r="P135" s="13">
        <f t="shared" si="141"/>
        <v>2.6568987209435707E-12</v>
      </c>
      <c r="Q135" s="20">
        <f t="shared" si="108"/>
        <v>4.959485612423072E-12</v>
      </c>
      <c r="R135" s="59">
        <f t="shared" si="109"/>
        <v>293.33333333333826</v>
      </c>
      <c r="S135" s="59">
        <f ca="1">AVERAGE(OFFSET($R$3,0,0,'Données projet'!$E$9+1,1))-AVERAGE(OFFSET($H$3,0,0,'Données projet'!$E$9+1,1))</f>
        <v>320.29885421543776</v>
      </c>
      <c r="T135" s="59">
        <f t="shared" si="142"/>
        <v>546.34638548793396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36.480621278907442</v>
      </c>
      <c r="AA135" s="21">
        <f>EXP(-LN(2)/25)*AA134+(1-EXP(-LN(2)/25))/(LN(2)/25)*Calculateur!V135*Calculateur!X135*VLOOKUP('Données projet'!$B$9,Paramètres!$A$1:$I$89,3,0)*0.475*44/12</f>
        <v>6.1580594916914082</v>
      </c>
      <c r="AB135" s="21">
        <f>EXP(-LN(2)/2)*AB134+(1-EXP(-LN(2)/2))/(LN(2)/2)*V135*Y135*VLOOKUP('Données projet'!$B$9,Paramètres!$A$1:$I$89,3,0)*0.475*44/12</f>
        <v>3.4564335423727559E-12</v>
      </c>
      <c r="AC135" s="22">
        <f t="shared" si="111"/>
        <v>42.638680770602306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-2.8421709430404007E-14</v>
      </c>
      <c r="AJ135" s="13">
        <f>AI135*VLOOKUP('Données projet'!$B$10,Paramètres!$A$1:$I$89,3,0)*VLOOKUP('Données projet'!$B$10,Paramètres!$A$1:$I$89,5,0)</f>
        <v>-1.7735146684572101E-14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150.88336605939878</v>
      </c>
      <c r="AO135" s="59">
        <f t="shared" si="144"/>
        <v>268.54782308462387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21.787416251351857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1.2689243071262582E-11</v>
      </c>
      <c r="AX135" s="21">
        <f t="shared" si="114"/>
        <v>21.787416251364547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1.9065282685915009E-13</v>
      </c>
      <c r="P136" s="13">
        <f t="shared" si="141"/>
        <v>2.6568987209435707E-12</v>
      </c>
      <c r="Q136" s="20">
        <f t="shared" si="108"/>
        <v>4.959485612423072E-12</v>
      </c>
      <c r="R136" s="59">
        <f t="shared" si="109"/>
        <v>293.33333333333826</v>
      </c>
      <c r="S136" s="59">
        <f ca="1">AVERAGE(OFFSET($R$3,0,0,'Données projet'!$E$9+1,1))-AVERAGE(OFFSET($H$3,0,0,'Données projet'!$E$9+1,1))</f>
        <v>320.29885421543776</v>
      </c>
      <c r="T136" s="59">
        <f t="shared" si="142"/>
        <v>546.34638548793396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35.765258546609942</v>
      </c>
      <c r="AA136" s="21">
        <f>EXP(-LN(2)/25)*AA135+(1-EXP(-LN(2)/25))/(LN(2)/25)*Calculateur!V136*Calculateur!X136*VLOOKUP('Données projet'!$B$9,Paramètres!$A$1:$I$89,3,0)*0.475*44/12</f>
        <v>5.9896670310528322</v>
      </c>
      <c r="AB136" s="21">
        <f>EXP(-LN(2)/2)*AB135+(1-EXP(-LN(2)/2))/(LN(2)/2)*V136*Y136*VLOOKUP('Données projet'!$B$9,Paramètres!$A$1:$I$89,3,0)*0.475*44/12</f>
        <v>2.4440675965324156E-12</v>
      </c>
      <c r="AC136" s="22">
        <f t="shared" si="111"/>
        <v>41.754925577665219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-2.8421709430404007E-14</v>
      </c>
      <c r="AJ136" s="13">
        <f>AI136*VLOOKUP('Données projet'!$B$10,Paramètres!$A$1:$I$89,3,0)*VLOOKUP('Données projet'!$B$10,Paramètres!$A$1:$I$89,5,0)</f>
        <v>-1.7735146684572101E-14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150.88336605939878</v>
      </c>
      <c r="AO136" s="59">
        <f t="shared" si="144"/>
        <v>268.54782308462387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21.36017830767458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8.9726498238141845E-12</v>
      </c>
      <c r="AX136" s="21">
        <f t="shared" si="114"/>
        <v>21.360178307683555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1.9065282685915009E-13</v>
      </c>
      <c r="P137" s="13">
        <f t="shared" si="141"/>
        <v>2.6568987209435707E-12</v>
      </c>
      <c r="Q137" s="20">
        <f t="shared" si="108"/>
        <v>4.959485612423072E-12</v>
      </c>
      <c r="R137" s="59">
        <f t="shared" si="109"/>
        <v>293.33333333333826</v>
      </c>
      <c r="S137" s="59">
        <f ca="1">AVERAGE(OFFSET($R$3,0,0,'Données projet'!$E$9+1,1))-AVERAGE(OFFSET($H$3,0,0,'Données projet'!$E$9+1,1))</f>
        <v>320.29885421543776</v>
      </c>
      <c r="T137" s="59">
        <f t="shared" si="142"/>
        <v>546.34638548793396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35.063923641164614</v>
      </c>
      <c r="AA137" s="21">
        <f>EXP(-LN(2)/25)*AA136+(1-EXP(-LN(2)/25))/(LN(2)/25)*Calculateur!V137*Calculateur!X137*VLOOKUP('Données projet'!$B$9,Paramètres!$A$1:$I$89,3,0)*0.475*44/12</f>
        <v>5.8258792711057925</v>
      </c>
      <c r="AB137" s="21">
        <f>EXP(-LN(2)/2)*AB136+(1-EXP(-LN(2)/2))/(LN(2)/2)*V137*Y137*VLOOKUP('Données projet'!$B$9,Paramètres!$A$1:$I$89,3,0)*0.475*44/12</f>
        <v>1.7282167711863779E-12</v>
      </c>
      <c r="AC137" s="22">
        <f t="shared" si="111"/>
        <v>40.889802912272131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-2.8421709430404007E-14</v>
      </c>
      <c r="AJ137" s="13">
        <f>AI137*VLOOKUP('Données projet'!$B$10,Paramètres!$A$1:$I$89,3,0)*VLOOKUP('Données projet'!$B$10,Paramètres!$A$1:$I$89,5,0)</f>
        <v>-1.7735146684572101E-14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150.88336605939878</v>
      </c>
      <c r="AO137" s="59">
        <f t="shared" si="144"/>
        <v>268.54782308462387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20.941318239483401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6.3446215356312909E-12</v>
      </c>
      <c r="AX137" s="21">
        <f t="shared" si="114"/>
        <v>20.941318239489746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1.9065282685915009E-13</v>
      </c>
      <c r="P138" s="13">
        <f t="shared" si="141"/>
        <v>2.6568987209435707E-12</v>
      </c>
      <c r="Q138" s="20">
        <f t="shared" si="108"/>
        <v>4.959485612423072E-12</v>
      </c>
      <c r="R138" s="59">
        <f t="shared" si="109"/>
        <v>293.33333333333826</v>
      </c>
      <c r="S138" s="59">
        <f ca="1">AVERAGE(OFFSET($R$3,0,0,'Données projet'!$E$9+1,1))-AVERAGE(OFFSET($H$3,0,0,'Données projet'!$E$9+1,1))</f>
        <v>320.29885421543776</v>
      </c>
      <c r="T138" s="59">
        <f t="shared" si="142"/>
        <v>546.34638548793396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34.376341485443021</v>
      </c>
      <c r="AA138" s="21">
        <f>EXP(-LN(2)/25)*AA137+(1-EXP(-LN(2)/25))/(LN(2)/25)*Calculateur!V138*Calculateur!X138*VLOOKUP('Données projet'!$B$9,Paramètres!$A$1:$I$89,3,0)*0.475*44/12</f>
        <v>5.6665702960677287</v>
      </c>
      <c r="AB138" s="21">
        <f>EXP(-LN(2)/2)*AB137+(1-EXP(-LN(2)/2))/(LN(2)/2)*V138*Y138*VLOOKUP('Données projet'!$B$9,Paramètres!$A$1:$I$89,3,0)*0.475*44/12</f>
        <v>1.2220337982662078E-12</v>
      </c>
      <c r="AC138" s="22">
        <f t="shared" si="111"/>
        <v>40.042911781511975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-2.8421709430404007E-14</v>
      </c>
      <c r="AJ138" s="13">
        <f>AI138*VLOOKUP('Données projet'!$B$10,Paramètres!$A$1:$I$89,3,0)*VLOOKUP('Données projet'!$B$10,Paramètres!$A$1:$I$89,5,0)</f>
        <v>-1.7735146684572101E-14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150.88336605939878</v>
      </c>
      <c r="AO138" s="59">
        <f t="shared" si="144"/>
        <v>268.54782308462387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20.530671761750035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4.4863249119070923E-12</v>
      </c>
      <c r="AX138" s="21">
        <f t="shared" si="114"/>
        <v>20.530671761754522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1.9065282685915009E-13</v>
      </c>
      <c r="P139" s="13">
        <f t="shared" si="141"/>
        <v>2.6568987209435707E-12</v>
      </c>
      <c r="Q139" s="20">
        <f t="shared" si="108"/>
        <v>4.959485612423072E-12</v>
      </c>
      <c r="R139" s="59">
        <f t="shared" si="109"/>
        <v>293.33333333333826</v>
      </c>
      <c r="S139" s="59">
        <f ca="1">AVERAGE(OFFSET($R$3,0,0,'Données projet'!$E$9+1,1))-AVERAGE(OFFSET($H$3,0,0,'Données projet'!$E$9+1,1))</f>
        <v>320.29885421543776</v>
      </c>
      <c r="T139" s="59">
        <f t="shared" si="142"/>
        <v>546.34638548793396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33.702242396411421</v>
      </c>
      <c r="AA139" s="21">
        <f>EXP(-LN(2)/25)*AA138+(1-EXP(-LN(2)/25))/(LN(2)/25)*Calculateur!V139*Calculateur!X139*VLOOKUP('Données projet'!$B$9,Paramètres!$A$1:$I$89,3,0)*0.475*44/12</f>
        <v>5.5116176333297755</v>
      </c>
      <c r="AB139" s="21">
        <f>EXP(-LN(2)/2)*AB138+(1-EXP(-LN(2)/2))/(LN(2)/2)*V139*Y139*VLOOKUP('Données projet'!$B$9,Paramètres!$A$1:$I$89,3,0)*0.475*44/12</f>
        <v>8.6410838559318897E-13</v>
      </c>
      <c r="AC139" s="22">
        <f t="shared" si="111"/>
        <v>39.213860029742065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-2.8421709430404007E-14</v>
      </c>
      <c r="AJ139" s="13">
        <f>AI139*VLOOKUP('Données projet'!$B$10,Paramètres!$A$1:$I$89,3,0)*VLOOKUP('Données projet'!$B$10,Paramètres!$A$1:$I$89,5,0)</f>
        <v>-1.7735146684572101E-14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150.88336605939878</v>
      </c>
      <c r="AO139" s="59">
        <f t="shared" si="144"/>
        <v>268.54782308462387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20.128077810975402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3.1723107678156455E-12</v>
      </c>
      <c r="AX139" s="21">
        <f t="shared" si="114"/>
        <v>20.128077810978574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1.9065282685915009E-13</v>
      </c>
      <c r="P140" s="13">
        <f t="shared" si="141"/>
        <v>2.6568987209435707E-12</v>
      </c>
      <c r="Q140" s="20">
        <f t="shared" si="108"/>
        <v>4.959485612423072E-12</v>
      </c>
      <c r="R140" s="59">
        <f t="shared" si="109"/>
        <v>293.33333333333826</v>
      </c>
      <c r="S140" s="59">
        <f ca="1">AVERAGE(OFFSET($R$3,0,0,'Données projet'!$E$9+1,1))-AVERAGE(OFFSET($H$3,0,0,'Données projet'!$E$9+1,1))</f>
        <v>320.29885421543776</v>
      </c>
      <c r="T140" s="59">
        <f t="shared" si="142"/>
        <v>546.34638548793396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33.041361979355884</v>
      </c>
      <c r="AA140" s="21">
        <f>EXP(-LN(2)/25)*AA139+(1-EXP(-LN(2)/25))/(LN(2)/25)*Calculateur!V140*Calculateur!X140*VLOOKUP('Données projet'!$B$9,Paramètres!$A$1:$I$89,3,0)*0.475*44/12</f>
        <v>5.3609021593029986</v>
      </c>
      <c r="AB140" s="21">
        <f>EXP(-LN(2)/2)*AB139+(1-EXP(-LN(2)/2))/(LN(2)/2)*V140*Y140*VLOOKUP('Données projet'!$B$9,Paramètres!$A$1:$I$89,3,0)*0.475*44/12</f>
        <v>6.110168991331039E-13</v>
      </c>
      <c r="AC140" s="22">
        <f t="shared" si="111"/>
        <v>38.40226413865949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-2.8421709430404007E-14</v>
      </c>
      <c r="AJ140" s="13">
        <f>AI140*VLOOKUP('Données projet'!$B$10,Paramètres!$A$1:$I$89,3,0)*VLOOKUP('Données projet'!$B$10,Paramètres!$A$1:$I$89,5,0)</f>
        <v>-1.7735146684572101E-14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150.88336605939878</v>
      </c>
      <c r="AO140" s="59">
        <f t="shared" si="144"/>
        <v>268.54782308462387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19.733378482017393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2.2431624559535461E-12</v>
      </c>
      <c r="AX140" s="21">
        <f t="shared" si="114"/>
        <v>19.733378482019635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1.9065282685915009E-13</v>
      </c>
      <c r="P141" s="13">
        <f t="shared" si="141"/>
        <v>2.6568987209435707E-12</v>
      </c>
      <c r="Q141" s="20">
        <f t="shared" si="108"/>
        <v>4.959485612423072E-12</v>
      </c>
      <c r="R141" s="59">
        <f t="shared" si="109"/>
        <v>293.33333333333826</v>
      </c>
      <c r="S141" s="59">
        <f ca="1">AVERAGE(OFFSET($R$3,0,0,'Données projet'!$E$9+1,1))-AVERAGE(OFFSET($H$3,0,0,'Données projet'!$E$9+1,1))</f>
        <v>320.29885421543776</v>
      </c>
      <c r="T141" s="59">
        <f t="shared" si="142"/>
        <v>546.34638548793396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32.393441024181556</v>
      </c>
      <c r="AA141" s="21">
        <f>EXP(-LN(2)/25)*AA140+(1-EXP(-LN(2)/25))/(LN(2)/25)*Calculateur!V141*Calculateur!X141*VLOOKUP('Données projet'!$B$9,Paramètres!$A$1:$I$89,3,0)*0.475*44/12</f>
        <v>5.2143080078392661</v>
      </c>
      <c r="AB141" s="21">
        <f>EXP(-LN(2)/2)*AB140+(1-EXP(-LN(2)/2))/(LN(2)/2)*V141*Y141*VLOOKUP('Données projet'!$B$9,Paramètres!$A$1:$I$89,3,0)*0.475*44/12</f>
        <v>4.3205419279659448E-13</v>
      </c>
      <c r="AC141" s="22">
        <f t="shared" si="111"/>
        <v>37.607749032021253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-2.8421709430404007E-14</v>
      </c>
      <c r="AJ141" s="13">
        <f>AI141*VLOOKUP('Données projet'!$B$10,Paramètres!$A$1:$I$89,3,0)*VLOOKUP('Données projet'!$B$10,Paramètres!$A$1:$I$89,5,0)</f>
        <v>-1.7735146684572101E-14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150.88336605939878</v>
      </c>
      <c r="AO141" s="59">
        <f t="shared" si="144"/>
        <v>268.54782308462387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19.346418966157433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1.5861553839078227E-12</v>
      </c>
      <c r="AX141" s="21">
        <f t="shared" si="114"/>
        <v>19.346418966159018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1.9065282685915009E-13</v>
      </c>
      <c r="P142" s="13">
        <f t="shared" si="141"/>
        <v>2.6568987209435707E-12</v>
      </c>
      <c r="Q142" s="20">
        <f t="shared" si="108"/>
        <v>4.959485612423072E-12</v>
      </c>
      <c r="R142" s="59">
        <f t="shared" si="109"/>
        <v>293.33333333333826</v>
      </c>
      <c r="S142" s="59">
        <f ca="1">AVERAGE(OFFSET($R$3,0,0,'Données projet'!$E$9+1,1))-AVERAGE(OFFSET($H$3,0,0,'Données projet'!$E$9+1,1))</f>
        <v>320.29885421543776</v>
      </c>
      <c r="T142" s="59">
        <f t="shared" si="142"/>
        <v>546.34638548793396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31.758225403745435</v>
      </c>
      <c r="AA142" s="21">
        <f>EXP(-LN(2)/25)*AA141+(1-EXP(-LN(2)/25))/(LN(2)/25)*Calculateur!V142*Calculateur!X142*VLOOKUP('Données projet'!$B$9,Paramètres!$A$1:$I$89,3,0)*0.475*44/12</f>
        <v>5.0717224811563604</v>
      </c>
      <c r="AB142" s="21">
        <f>EXP(-LN(2)/2)*AB141+(1-EXP(-LN(2)/2))/(LN(2)/2)*V142*Y142*VLOOKUP('Données projet'!$B$9,Paramètres!$A$1:$I$89,3,0)*0.475*44/12</f>
        <v>3.0550844956655195E-13</v>
      </c>
      <c r="AC142" s="22">
        <f t="shared" si="111"/>
        <v>36.829947884902104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-2.8421709430404007E-14</v>
      </c>
      <c r="AJ142" s="13">
        <f>AI142*VLOOKUP('Données projet'!$B$10,Paramètres!$A$1:$I$89,3,0)*VLOOKUP('Données projet'!$B$10,Paramètres!$A$1:$I$89,5,0)</f>
        <v>-1.7735146684572101E-14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150.88336605939878</v>
      </c>
      <c r="AO142" s="59">
        <f t="shared" si="144"/>
        <v>268.54782308462387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18.967047490381486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1.1215812279767731E-12</v>
      </c>
      <c r="AX142" s="21">
        <f t="shared" si="114"/>
        <v>18.967047490382608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1.9065282685915009E-13</v>
      </c>
      <c r="P143" s="13">
        <f t="shared" si="141"/>
        <v>2.6568987209435707E-12</v>
      </c>
      <c r="Q143" s="20">
        <f t="shared" si="108"/>
        <v>4.959485612423072E-12</v>
      </c>
      <c r="R143" s="59">
        <f t="shared" si="109"/>
        <v>293.33333333333826</v>
      </c>
      <c r="S143" s="59">
        <f ca="1">AVERAGE(OFFSET($R$3,0,0,'Données projet'!$E$9+1,1))-AVERAGE(OFFSET($H$3,0,0,'Données projet'!$E$9+1,1))</f>
        <v>320.29885421543776</v>
      </c>
      <c r="T143" s="59">
        <f t="shared" si="142"/>
        <v>546.34638548793396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31.135465974182793</v>
      </c>
      <c r="AA143" s="21">
        <f>EXP(-LN(2)/25)*AA142+(1-EXP(-LN(2)/25))/(LN(2)/25)*Calculateur!V143*Calculateur!X143*VLOOKUP('Données projet'!$B$9,Paramètres!$A$1:$I$89,3,0)*0.475*44/12</f>
        <v>4.9330359631988463</v>
      </c>
      <c r="AB143" s="21">
        <f>EXP(-LN(2)/2)*AB142+(1-EXP(-LN(2)/2))/(LN(2)/2)*V143*Y143*VLOOKUP('Données projet'!$B$9,Paramètres!$A$1:$I$89,3,0)*0.475*44/12</f>
        <v>2.1602709639829724E-13</v>
      </c>
      <c r="AC143" s="22">
        <f t="shared" si="111"/>
        <v>36.068501937381853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-2.8421709430404007E-14</v>
      </c>
      <c r="AJ143" s="13">
        <f>AI143*VLOOKUP('Données projet'!$B$10,Paramètres!$A$1:$I$89,3,0)*VLOOKUP('Données projet'!$B$10,Paramètres!$A$1:$I$89,5,0)</f>
        <v>-1.7735146684572101E-14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150.88336605939878</v>
      </c>
      <c r="AO143" s="59">
        <f t="shared" si="144"/>
        <v>268.54782308462387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18.595115257851752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7.9307769195391136E-13</v>
      </c>
      <c r="AX143" s="21">
        <f t="shared" si="114"/>
        <v>18.595115257852544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1.9065282685915009E-13</v>
      </c>
      <c r="P144" s="13">
        <f t="shared" si="141"/>
        <v>2.6568987209435707E-12</v>
      </c>
      <c r="Q144" s="20">
        <f t="shared" si="108"/>
        <v>4.959485612423072E-12</v>
      </c>
      <c r="R144" s="59">
        <f t="shared" si="109"/>
        <v>293.33333333333826</v>
      </c>
      <c r="S144" s="59">
        <f ca="1">AVERAGE(OFFSET($R$3,0,0,'Données projet'!$E$9+1,1))-AVERAGE(OFFSET($H$3,0,0,'Données projet'!$E$9+1,1))</f>
        <v>320.29885421543776</v>
      </c>
      <c r="T144" s="59">
        <f t="shared" si="142"/>
        <v>546.34638548793396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30.52491847718813</v>
      </c>
      <c r="AA144" s="21">
        <f>EXP(-LN(2)/25)*AA143+(1-EXP(-LN(2)/25))/(LN(2)/25)*Calculateur!V144*Calculateur!X144*VLOOKUP('Données projet'!$B$9,Paramètres!$A$1:$I$89,3,0)*0.475*44/12</f>
        <v>4.7981418353680869</v>
      </c>
      <c r="AB144" s="21">
        <f>EXP(-LN(2)/2)*AB143+(1-EXP(-LN(2)/2))/(LN(2)/2)*V144*Y144*VLOOKUP('Données projet'!$B$9,Paramètres!$A$1:$I$89,3,0)*0.475*44/12</f>
        <v>1.5275422478327597E-13</v>
      </c>
      <c r="AC144" s="22">
        <f t="shared" si="111"/>
        <v>35.323060312556365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-2.8421709430404007E-14</v>
      </c>
      <c r="AJ144" s="13">
        <f>AI144*VLOOKUP('Données projet'!$B$10,Paramètres!$A$1:$I$89,3,0)*VLOOKUP('Données projet'!$B$10,Paramètres!$A$1:$I$89,5,0)</f>
        <v>-1.7735146684572101E-14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150.88336605939878</v>
      </c>
      <c r="AO144" s="59">
        <f t="shared" si="144"/>
        <v>268.54782308462387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18.230476389545668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5.6079061398838653E-13</v>
      </c>
      <c r="AX144" s="21">
        <f t="shared" si="114"/>
        <v>18.230476389546229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1.9065282685915009E-13</v>
      </c>
      <c r="P145" s="13">
        <f t="shared" si="141"/>
        <v>2.6568987209435707E-12</v>
      </c>
      <c r="Q145" s="20">
        <f t="shared" si="108"/>
        <v>4.959485612423072E-12</v>
      </c>
      <c r="R145" s="59">
        <f t="shared" si="109"/>
        <v>293.33333333333826</v>
      </c>
      <c r="S145" s="59">
        <f ca="1">AVERAGE(OFFSET($R$3,0,0,'Données projet'!$E$9+1,1))-AVERAGE(OFFSET($H$3,0,0,'Données projet'!$E$9+1,1))</f>
        <v>320.29885421543776</v>
      </c>
      <c r="T145" s="59">
        <f t="shared" si="142"/>
        <v>546.34638548793396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29.926343444212332</v>
      </c>
      <c r="AA145" s="21">
        <f>EXP(-LN(2)/25)*AA144+(1-EXP(-LN(2)/25))/(LN(2)/25)*Calculateur!V145*Calculateur!X145*VLOOKUP('Données projet'!$B$9,Paramètres!$A$1:$I$89,3,0)*0.475*44/12</f>
        <v>4.6669363945566333</v>
      </c>
      <c r="AB145" s="21">
        <f>EXP(-LN(2)/2)*AB144+(1-EXP(-LN(2)/2))/(LN(2)/2)*V145*Y145*VLOOKUP('Données projet'!$B$9,Paramètres!$A$1:$I$89,3,0)*0.475*44/12</f>
        <v>1.0801354819914862E-13</v>
      </c>
      <c r="AC145" s="22">
        <f t="shared" si="111"/>
        <v>34.593279838769071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-2.8421709430404007E-14</v>
      </c>
      <c r="AJ145" s="13">
        <f>AI145*VLOOKUP('Données projet'!$B$10,Paramètres!$A$1:$I$89,3,0)*VLOOKUP('Données projet'!$B$10,Paramètres!$A$1:$I$89,5,0)</f>
        <v>-1.7735146684572101E-14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150.88336605939878</v>
      </c>
      <c r="AO145" s="59">
        <f t="shared" si="144"/>
        <v>268.54782308462387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17.872987867039317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3.9653884597695568E-13</v>
      </c>
      <c r="AX145" s="21">
        <f t="shared" si="114"/>
        <v>17.872987867039715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1.9065282685915009E-13</v>
      </c>
      <c r="P146" s="13">
        <f t="shared" si="141"/>
        <v>2.6568987209435707E-12</v>
      </c>
      <c r="Q146" s="20">
        <f t="shared" si="108"/>
        <v>4.959485612423072E-12</v>
      </c>
      <c r="R146" s="59">
        <f t="shared" si="109"/>
        <v>293.33333333333826</v>
      </c>
      <c r="S146" s="59">
        <f ca="1">AVERAGE(OFFSET($R$3,0,0,'Données projet'!$E$9+1,1))-AVERAGE(OFFSET($H$3,0,0,'Données projet'!$E$9+1,1))</f>
        <v>320.29885421543776</v>
      </c>
      <c r="T146" s="59">
        <f t="shared" si="142"/>
        <v>546.34638548793396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29.339506102538468</v>
      </c>
      <c r="AA146" s="21">
        <f>EXP(-LN(2)/25)*AA145+(1-EXP(-LN(2)/25))/(LN(2)/25)*Calculateur!V146*Calculateur!X146*VLOOKUP('Données projet'!$B$9,Paramètres!$A$1:$I$89,3,0)*0.475*44/12</f>
        <v>4.5393187734239637</v>
      </c>
      <c r="AB146" s="21">
        <f>EXP(-LN(2)/2)*AB145+(1-EXP(-LN(2)/2))/(LN(2)/2)*V146*Y146*VLOOKUP('Données projet'!$B$9,Paramètres!$A$1:$I$89,3,0)*0.475*44/12</f>
        <v>7.6377112391637987E-14</v>
      </c>
      <c r="AC146" s="22">
        <f t="shared" si="111"/>
        <v>33.878824875962508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-2.8421709430404007E-14</v>
      </c>
      <c r="AJ146" s="13">
        <f>AI146*VLOOKUP('Données projet'!$B$10,Paramètres!$A$1:$I$89,3,0)*VLOOKUP('Données projet'!$B$10,Paramètres!$A$1:$I$89,5,0)</f>
        <v>-1.7735146684572101E-14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150.88336605939878</v>
      </c>
      <c r="AO146" s="59">
        <f t="shared" si="144"/>
        <v>268.54782308462387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17.522509476412846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2.8039530699419327E-13</v>
      </c>
      <c r="AX146" s="21">
        <f t="shared" si="114"/>
        <v>17.522509476413127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1.9065282685915009E-13</v>
      </c>
      <c r="P147" s="13">
        <f t="shared" si="141"/>
        <v>2.6568987209435707E-12</v>
      </c>
      <c r="Q147" s="20">
        <f t="shared" si="108"/>
        <v>4.959485612423072E-12</v>
      </c>
      <c r="R147" s="59">
        <f t="shared" si="109"/>
        <v>293.33333333333826</v>
      </c>
      <c r="S147" s="59">
        <f ca="1">AVERAGE(OFFSET($R$3,0,0,'Données projet'!$E$9+1,1))-AVERAGE(OFFSET($H$3,0,0,'Données projet'!$E$9+1,1))</f>
        <v>320.29885421543776</v>
      </c>
      <c r="T147" s="59">
        <f t="shared" si="142"/>
        <v>546.34638548793396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28.764176283199394</v>
      </c>
      <c r="AA147" s="21">
        <f>EXP(-LN(2)/25)*AA146+(1-EXP(-LN(2)/25))/(LN(2)/25)*Calculateur!V147*Calculateur!X147*VLOOKUP('Données projet'!$B$9,Paramètres!$A$1:$I$89,3,0)*0.475*44/12</f>
        <v>4.4151908628522856</v>
      </c>
      <c r="AB147" s="21">
        <f>EXP(-LN(2)/2)*AB146+(1-EXP(-LN(2)/2))/(LN(2)/2)*V147*Y147*VLOOKUP('Données projet'!$B$9,Paramètres!$A$1:$I$89,3,0)*0.475*44/12</f>
        <v>5.400677409957431E-14</v>
      </c>
      <c r="AC147" s="22">
        <f t="shared" si="111"/>
        <v>33.179367146051739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-2.8421709430404007E-14</v>
      </c>
      <c r="AJ147" s="13">
        <f>AI147*VLOOKUP('Données projet'!$B$10,Paramètres!$A$1:$I$89,3,0)*VLOOKUP('Données projet'!$B$10,Paramètres!$A$1:$I$89,5,0)</f>
        <v>-1.7735146684572101E-14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150.88336605939878</v>
      </c>
      <c r="AO147" s="59">
        <f t="shared" si="144"/>
        <v>268.54782308462387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17.178903753255852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1.9826942298847784E-13</v>
      </c>
      <c r="AX147" s="21">
        <f t="shared" si="114"/>
        <v>17.178903753256051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1.9065282685915009E-13</v>
      </c>
      <c r="P148" s="13">
        <f t="shared" si="141"/>
        <v>2.6568987209435707E-12</v>
      </c>
      <c r="Q148" s="20">
        <f t="shared" si="108"/>
        <v>4.959485612423072E-12</v>
      </c>
      <c r="R148" s="59">
        <f t="shared" si="109"/>
        <v>293.33333333333826</v>
      </c>
      <c r="S148" s="59">
        <f ca="1">AVERAGE(OFFSET($R$3,0,0,'Données projet'!$E$9+1,1))-AVERAGE(OFFSET($H$3,0,0,'Données projet'!$E$9+1,1))</f>
        <v>320.29885421543776</v>
      </c>
      <c r="T148" s="59">
        <f t="shared" si="142"/>
        <v>546.34638548793396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28.20012833070102</v>
      </c>
      <c r="AA148" s="21">
        <f>EXP(-LN(2)/25)*AA147+(1-EXP(-LN(2)/25))/(LN(2)/25)*Calculateur!V148*Calculateur!X148*VLOOKUP('Données projet'!$B$9,Paramètres!$A$1:$I$89,3,0)*0.475*44/12</f>
        <v>4.2944572365227938</v>
      </c>
      <c r="AB148" s="21">
        <f>EXP(-LN(2)/2)*AB147+(1-EXP(-LN(2)/2))/(LN(2)/2)*V148*Y148*VLOOKUP('Données projet'!$B$9,Paramètres!$A$1:$I$89,3,0)*0.475*44/12</f>
        <v>3.8188556195818994E-14</v>
      </c>
      <c r="AC148" s="22">
        <f t="shared" si="111"/>
        <v>32.494585567223851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-2.8421709430404007E-14</v>
      </c>
      <c r="AJ148" s="13">
        <f>AI148*VLOOKUP('Données projet'!$B$10,Paramètres!$A$1:$I$89,3,0)*VLOOKUP('Données projet'!$B$10,Paramètres!$A$1:$I$89,5,0)</f>
        <v>-1.7735146684572101E-14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150.88336605939878</v>
      </c>
      <c r="AO148" s="59">
        <f t="shared" si="144"/>
        <v>268.54782308462387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16.842035928751169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1.4019765349709663E-13</v>
      </c>
      <c r="AX148" s="21">
        <f t="shared" si="114"/>
        <v>16.842035928751308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1.9065282685915009E-13</v>
      </c>
      <c r="P149" s="13">
        <f t="shared" si="141"/>
        <v>2.6568987209435707E-12</v>
      </c>
      <c r="Q149" s="20">
        <f t="shared" si="108"/>
        <v>4.959485612423072E-12</v>
      </c>
      <c r="R149" s="59">
        <f t="shared" si="109"/>
        <v>293.33333333333826</v>
      </c>
      <c r="S149" s="59">
        <f ca="1">AVERAGE(OFFSET($R$3,0,0,'Données projet'!$E$9+1,1))-AVERAGE(OFFSET($H$3,0,0,'Données projet'!$E$9+1,1))</f>
        <v>320.29885421543776</v>
      </c>
      <c r="T149" s="59">
        <f t="shared" si="142"/>
        <v>546.34638548793396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27.647141014515856</v>
      </c>
      <c r="AA149" s="21">
        <f>EXP(-LN(2)/25)*AA148+(1-EXP(-LN(2)/25))/(LN(2)/25)*Calculateur!V149*Calculateur!X149*VLOOKUP('Données projet'!$B$9,Paramètres!$A$1:$I$89,3,0)*0.475*44/12</f>
        <v>4.1770250775543873</v>
      </c>
      <c r="AB149" s="21">
        <f>EXP(-LN(2)/2)*AB148+(1-EXP(-LN(2)/2))/(LN(2)/2)*V149*Y149*VLOOKUP('Données projet'!$B$9,Paramètres!$A$1:$I$89,3,0)*0.475*44/12</f>
        <v>2.7003387049787155E-14</v>
      </c>
      <c r="AC149" s="22">
        <f t="shared" si="111"/>
        <v>31.824166092070271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-2.8421709430404007E-14</v>
      </c>
      <c r="AJ149" s="13">
        <f>AI149*VLOOKUP('Données projet'!$B$10,Paramètres!$A$1:$I$89,3,0)*VLOOKUP('Données projet'!$B$10,Paramètres!$A$1:$I$89,5,0)</f>
        <v>-1.7735146684572101E-14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150.88336605939878</v>
      </c>
      <c r="AO149" s="59">
        <f t="shared" si="144"/>
        <v>268.54782308462387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16.511773876815937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9.9134711494238921E-14</v>
      </c>
      <c r="AX149" s="21">
        <f t="shared" si="114"/>
        <v>16.511773876816036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1.9065282685915009E-13</v>
      </c>
      <c r="P150" s="13">
        <f t="shared" si="141"/>
        <v>2.6568987209435707E-12</v>
      </c>
      <c r="Q150" s="20">
        <f t="shared" si="108"/>
        <v>4.959485612423072E-12</v>
      </c>
      <c r="R150" s="59">
        <f t="shared" si="109"/>
        <v>293.33333333333826</v>
      </c>
      <c r="S150" s="59">
        <f ca="1">AVERAGE(OFFSET($R$3,0,0,'Données projet'!$E$9+1,1))-AVERAGE(OFFSET($H$3,0,0,'Données projet'!$E$9+1,1))</f>
        <v>320.29885421543776</v>
      </c>
      <c r="T150" s="59">
        <f t="shared" si="142"/>
        <v>546.34638548793396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27.104997442312129</v>
      </c>
      <c r="AA150" s="21">
        <f>EXP(-LN(2)/25)*AA149+(1-EXP(-LN(2)/25))/(LN(2)/25)*Calculateur!V150*Calculateur!X150*VLOOKUP('Données projet'!$B$9,Paramètres!$A$1:$I$89,3,0)*0.475*44/12</f>
        <v>4.0628041071484606</v>
      </c>
      <c r="AB150" s="21">
        <f>EXP(-LN(2)/2)*AB149+(1-EXP(-LN(2)/2))/(LN(2)/2)*V150*Y150*VLOOKUP('Données projet'!$B$9,Paramètres!$A$1:$I$89,3,0)*0.475*44/12</f>
        <v>1.9094278097909497E-14</v>
      </c>
      <c r="AC150" s="22">
        <f t="shared" si="111"/>
        <v>31.167801549460609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-2.8421709430404007E-14</v>
      </c>
      <c r="AJ150" s="13">
        <f>AI150*VLOOKUP('Données projet'!$B$10,Paramètres!$A$1:$I$89,3,0)*VLOOKUP('Données projet'!$B$10,Paramètres!$A$1:$I$89,5,0)</f>
        <v>-1.7735146684572101E-14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150.88336605939878</v>
      </c>
      <c r="AO150" s="59">
        <f t="shared" si="144"/>
        <v>268.54782308462387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16.187988062279196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7.0098826748548317E-14</v>
      </c>
      <c r="AX150" s="21">
        <f t="shared" si="114"/>
        <v>16.187988062279267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1.9065282685915009E-13</v>
      </c>
      <c r="P151" s="13">
        <f t="shared" si="141"/>
        <v>2.6568987209435707E-12</v>
      </c>
      <c r="Q151" s="20">
        <f t="shared" si="108"/>
        <v>4.959485612423072E-12</v>
      </c>
      <c r="R151" s="59">
        <f t="shared" si="109"/>
        <v>293.33333333333826</v>
      </c>
      <c r="S151" s="59">
        <f ca="1">AVERAGE(OFFSET($R$3,0,0,'Données projet'!$E$9+1,1))-AVERAGE(OFFSET($H$3,0,0,'Données projet'!$E$9+1,1))</f>
        <v>320.29885421543776</v>
      </c>
      <c r="T151" s="59">
        <f t="shared" si="142"/>
        <v>546.34638548793396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26.573484974884387</v>
      </c>
      <c r="AA151" s="21">
        <f>EXP(-LN(2)/25)*AA150+(1-EXP(-LN(2)/25))/(LN(2)/25)*Calculateur!V151*Calculateur!X151*VLOOKUP('Données projet'!$B$9,Paramètres!$A$1:$I$89,3,0)*0.475*44/12</f>
        <v>3.9517065151849038</v>
      </c>
      <c r="AB151" s="21">
        <f>EXP(-LN(2)/2)*AB150+(1-EXP(-LN(2)/2))/(LN(2)/2)*V151*Y151*VLOOKUP('Données projet'!$B$9,Paramètres!$A$1:$I$89,3,0)*0.475*44/12</f>
        <v>1.3501693524893578E-14</v>
      </c>
      <c r="AC151" s="22">
        <f t="shared" si="111"/>
        <v>30.525191490069304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-2.8421709430404007E-14</v>
      </c>
      <c r="AJ151" s="13">
        <f>AI151*VLOOKUP('Données projet'!$B$10,Paramètres!$A$1:$I$89,3,0)*VLOOKUP('Données projet'!$B$10,Paramètres!$A$1:$I$89,5,0)</f>
        <v>-1.7735146684572101E-14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150.88336605939878</v>
      </c>
      <c r="AO151" s="59">
        <f t="shared" si="144"/>
        <v>268.54782308462387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15.870551490075671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4.956735574711946E-14</v>
      </c>
      <c r="AX151" s="21">
        <f t="shared" si="114"/>
        <v>15.870551490075721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1.9065282685915009E-13</v>
      </c>
      <c r="P152" s="13">
        <f t="shared" si="141"/>
        <v>2.6568987209435707E-12</v>
      </c>
      <c r="Q152" s="20">
        <f t="shared" si="108"/>
        <v>4.959485612423072E-12</v>
      </c>
      <c r="R152" s="59">
        <f t="shared" si="109"/>
        <v>293.33333333333826</v>
      </c>
      <c r="S152" s="59">
        <f ca="1">AVERAGE(OFFSET($R$3,0,0,'Données projet'!$E$9+1,1))-AVERAGE(OFFSET($H$3,0,0,'Données projet'!$E$9+1,1))</f>
        <v>320.29885421543776</v>
      </c>
      <c r="T152" s="59">
        <f t="shared" si="142"/>
        <v>546.34638548793396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26.05239514275231</v>
      </c>
      <c r="AA152" s="21">
        <f>EXP(-LN(2)/25)*AA151+(1-EXP(-LN(2)/25))/(LN(2)/25)*Calculateur!V152*Calculateur!X152*VLOOKUP('Données projet'!$B$9,Paramètres!$A$1:$I$89,3,0)*0.475*44/12</f>
        <v>3.8436468927159586</v>
      </c>
      <c r="AB152" s="21">
        <f>EXP(-LN(2)/2)*AB151+(1-EXP(-LN(2)/2))/(LN(2)/2)*V152*Y152*VLOOKUP('Données projet'!$B$9,Paramètres!$A$1:$I$89,3,0)*0.475*44/12</f>
        <v>9.5471390489547484E-15</v>
      </c>
      <c r="AC152" s="22">
        <f t="shared" si="111"/>
        <v>29.89604203546828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-2.8421709430404007E-14</v>
      </c>
      <c r="AJ152" s="13">
        <f>AI152*VLOOKUP('Données projet'!$B$10,Paramètres!$A$1:$I$89,3,0)*VLOOKUP('Données projet'!$B$10,Paramètres!$A$1:$I$89,5,0)</f>
        <v>-1.7735146684572101E-14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150.88336605939878</v>
      </c>
      <c r="AO152" s="59">
        <f t="shared" si="144"/>
        <v>268.54782308462387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15.559339655435869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3.5049413374274158E-14</v>
      </c>
      <c r="AX152" s="21">
        <f t="shared" si="114"/>
        <v>15.559339655435904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1.9065282685915009E-13</v>
      </c>
      <c r="P153" s="13">
        <f t="shared" si="141"/>
        <v>2.6568987209435707E-12</v>
      </c>
      <c r="Q153" s="20">
        <f t="shared" si="108"/>
        <v>4.959485612423072E-12</v>
      </c>
      <c r="R153" s="59">
        <f t="shared" si="109"/>
        <v>293.33333333333826</v>
      </c>
      <c r="S153" s="59">
        <f ca="1">AVERAGE(OFFSET($R$3,0,0,'Données projet'!$E$9+1,1))-AVERAGE(OFFSET($H$3,0,0,'Données projet'!$E$9+1,1))</f>
        <v>320.29885421543776</v>
      </c>
      <c r="T153" s="59">
        <f t="shared" si="142"/>
        <v>546.34638548793396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25.541523564394929</v>
      </c>
      <c r="AA153" s="21">
        <f>EXP(-LN(2)/25)*AA152+(1-EXP(-LN(2)/25))/(LN(2)/25)*Calculateur!V153*Calculateur!X153*VLOOKUP('Données projet'!$B$9,Paramètres!$A$1:$I$89,3,0)*0.475*44/12</f>
        <v>3.7385421663060354</v>
      </c>
      <c r="AB153" s="21">
        <f>EXP(-LN(2)/2)*AB152+(1-EXP(-LN(2)/2))/(LN(2)/2)*V153*Y153*VLOOKUP('Données projet'!$B$9,Paramètres!$A$1:$I$89,3,0)*0.475*44/12</f>
        <v>6.7508467624467888E-15</v>
      </c>
      <c r="AC153" s="22">
        <f t="shared" si="111"/>
        <v>29.280065730700972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-2.8421709430404007E-14</v>
      </c>
      <c r="AJ153" s="13">
        <f>AI153*VLOOKUP('Données projet'!$B$10,Paramètres!$A$1:$I$89,3,0)*VLOOKUP('Données projet'!$B$10,Paramètres!$A$1:$I$89,5,0)</f>
        <v>-1.7735146684572101E-14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150.88336605939878</v>
      </c>
      <c r="AO153" s="59">
        <f t="shared" si="144"/>
        <v>268.54782308462387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15.254230495052877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2.478367787355973E-14</v>
      </c>
      <c r="AX153" s="21">
        <f t="shared" si="114"/>
        <v>15.254230495052902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1.9065282685915009E-13</v>
      </c>
      <c r="P154" s="13">
        <f t="shared" si="141"/>
        <v>2.6568987209435707E-12</v>
      </c>
      <c r="Q154" s="20">
        <f t="shared" ref="Q154:Q203" si="162">(O154+P154)*0.475*44/12</f>
        <v>4.959485612423072E-12</v>
      </c>
      <c r="R154" s="59">
        <f t="shared" si="109"/>
        <v>293.33333333333826</v>
      </c>
      <c r="S154" s="59">
        <f ca="1">AVERAGE(OFFSET($R$3,0,0,'Données projet'!$E$9+1,1))-AVERAGE(OFFSET($H$3,0,0,'Données projet'!$E$9+1,1))</f>
        <v>320.29885421543776</v>
      </c>
      <c r="T154" s="59">
        <f t="shared" si="142"/>
        <v>546.34638548793396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25.040669866088241</v>
      </c>
      <c r="AA154" s="21">
        <f>EXP(-LN(2)/25)*AA153+(1-EXP(-LN(2)/25))/(LN(2)/25)*Calculateur!V154*Calculateur!X154*VLOOKUP('Données projet'!$B$9,Paramètres!$A$1:$I$89,3,0)*0.475*44/12</f>
        <v>3.6363115341670089</v>
      </c>
      <c r="AB154" s="21">
        <f>EXP(-LN(2)/2)*AB153+(1-EXP(-LN(2)/2))/(LN(2)/2)*V154*Y154*VLOOKUP('Données projet'!$B$9,Paramètres!$A$1:$I$89,3,0)*0.475*44/12</f>
        <v>4.7735695244773742E-15</v>
      </c>
      <c r="AC154" s="22">
        <f t="shared" ref="AC154:AC203" si="163">SUM(Z154:AB154)</f>
        <v>28.676981400255254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-2.8421709430404007E-14</v>
      </c>
      <c r="AJ154" s="13">
        <f>AI154*VLOOKUP('Données projet'!$B$10,Paramètres!$A$1:$I$89,3,0)*VLOOKUP('Données projet'!$B$10,Paramètres!$A$1:$I$89,5,0)</f>
        <v>-1.7735146684572101E-14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150.88336605939878</v>
      </c>
      <c r="AO154" s="59">
        <f t="shared" si="144"/>
        <v>268.54782308462387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14.955104339206782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1.7524706687137079E-14</v>
      </c>
      <c r="AX154" s="21">
        <f t="shared" ref="AX154:AX203" si="166">SUM(AU154:AW154)</f>
        <v>14.9551043392068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1.9065282685915009E-13</v>
      </c>
      <c r="P155" s="13">
        <f t="shared" si="141"/>
        <v>2.6568987209435707E-12</v>
      </c>
      <c r="Q155" s="20">
        <f t="shared" si="162"/>
        <v>4.959485612423072E-12</v>
      </c>
      <c r="R155" s="59">
        <f t="shared" si="109"/>
        <v>293.33333333333826</v>
      </c>
      <c r="S155" s="59">
        <f ca="1">AVERAGE(OFFSET($R$3,0,0,'Données projet'!$E$9+1,1))-AVERAGE(OFFSET($H$3,0,0,'Données projet'!$E$9+1,1))</f>
        <v>320.29885421543776</v>
      </c>
      <c r="T155" s="59">
        <f t="shared" si="142"/>
        <v>546.34638548793396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24.549637603314757</v>
      </c>
      <c r="AA155" s="21">
        <f>EXP(-LN(2)/25)*AA154+(1-EXP(-LN(2)/25))/(LN(2)/25)*Calculateur!V155*Calculateur!X155*VLOOKUP('Données projet'!$B$9,Paramètres!$A$1:$I$89,3,0)*0.475*44/12</f>
        <v>3.5368764040398992</v>
      </c>
      <c r="AB155" s="21">
        <f>EXP(-LN(2)/2)*AB154+(1-EXP(-LN(2)/2))/(LN(2)/2)*V155*Y155*VLOOKUP('Données projet'!$B$9,Paramètres!$A$1:$I$89,3,0)*0.475*44/12</f>
        <v>3.3754233812233944E-15</v>
      </c>
      <c r="AC155" s="22">
        <f t="shared" si="163"/>
        <v>28.086514007354658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-2.8421709430404007E-14</v>
      </c>
      <c r="AJ155" s="13">
        <f>AI155*VLOOKUP('Données projet'!$B$10,Paramètres!$A$1:$I$89,3,0)*VLOOKUP('Données projet'!$B$10,Paramètres!$A$1:$I$89,5,0)</f>
        <v>-1.7735146684572101E-14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150.88336605939878</v>
      </c>
      <c r="AO155" s="59">
        <f t="shared" si="144"/>
        <v>268.54782308462387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14.66184386482789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1.2391838936779865E-14</v>
      </c>
      <c r="AX155" s="21">
        <f t="shared" si="166"/>
        <v>14.661843864827903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1.9065282685915009E-13</v>
      </c>
      <c r="P156" s="13">
        <f t="shared" si="141"/>
        <v>2.6568987209435707E-12</v>
      </c>
      <c r="Q156" s="20">
        <f t="shared" si="162"/>
        <v>4.959485612423072E-12</v>
      </c>
      <c r="R156" s="59">
        <f t="shared" si="109"/>
        <v>293.33333333333826</v>
      </c>
      <c r="S156" s="59">
        <f ca="1">AVERAGE(OFFSET($R$3,0,0,'Données projet'!$E$9+1,1))-AVERAGE(OFFSET($H$3,0,0,'Données projet'!$E$9+1,1))</f>
        <v>320.29885421543776</v>
      </c>
      <c r="T156" s="59">
        <f t="shared" si="142"/>
        <v>546.34638548793396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24.068234183714154</v>
      </c>
      <c r="AA156" s="21">
        <f>EXP(-LN(2)/25)*AA155+(1-EXP(-LN(2)/25))/(LN(2)/25)*Calculateur!V156*Calculateur!X156*VLOOKUP('Données projet'!$B$9,Paramètres!$A$1:$I$89,3,0)*0.475*44/12</f>
        <v>3.4401603327751817</v>
      </c>
      <c r="AB156" s="21">
        <f>EXP(-LN(2)/2)*AB155+(1-EXP(-LN(2)/2))/(LN(2)/2)*V156*Y156*VLOOKUP('Données projet'!$B$9,Paramètres!$A$1:$I$89,3,0)*0.475*44/12</f>
        <v>2.3867847622386871E-15</v>
      </c>
      <c r="AC156" s="22">
        <f t="shared" si="163"/>
        <v>27.508394516489339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-2.8421709430404007E-14</v>
      </c>
      <c r="AJ156" s="13">
        <f>AI156*VLOOKUP('Données projet'!$B$10,Paramètres!$A$1:$I$89,3,0)*VLOOKUP('Données projet'!$B$10,Paramètres!$A$1:$I$89,5,0)</f>
        <v>-1.7735146684572101E-14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150.88336605939878</v>
      </c>
      <c r="AO156" s="59">
        <f t="shared" si="144"/>
        <v>268.54782308462387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14.374334049480341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8.7623533435685396E-15</v>
      </c>
      <c r="AX156" s="21">
        <f t="shared" si="166"/>
        <v>14.37433404948035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1.9065282685915009E-13</v>
      </c>
      <c r="P157" s="13">
        <f t="shared" si="141"/>
        <v>2.6568987209435707E-12</v>
      </c>
      <c r="Q157" s="20">
        <f t="shared" si="162"/>
        <v>4.959485612423072E-12</v>
      </c>
      <c r="R157" s="59">
        <f t="shared" si="109"/>
        <v>293.33333333333826</v>
      </c>
      <c r="S157" s="59">
        <f ca="1">AVERAGE(OFFSET($R$3,0,0,'Données projet'!$E$9+1,1))-AVERAGE(OFFSET($H$3,0,0,'Données projet'!$E$9+1,1))</f>
        <v>320.29885421543776</v>
      </c>
      <c r="T157" s="59">
        <f t="shared" si="142"/>
        <v>546.34638548793396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23.596270791544825</v>
      </c>
      <c r="AA157" s="21">
        <f>EXP(-LN(2)/25)*AA156+(1-EXP(-LN(2)/25))/(LN(2)/25)*Calculateur!V157*Calculateur!X157*VLOOKUP('Données projet'!$B$9,Paramètres!$A$1:$I$89,3,0)*0.475*44/12</f>
        <v>3.346088967565275</v>
      </c>
      <c r="AB157" s="21">
        <f>EXP(-LN(2)/2)*AB156+(1-EXP(-LN(2)/2))/(LN(2)/2)*V157*Y157*VLOOKUP('Données projet'!$B$9,Paramètres!$A$1:$I$89,3,0)*0.475*44/12</f>
        <v>1.6877116906116972E-15</v>
      </c>
      <c r="AC157" s="22">
        <f t="shared" si="163"/>
        <v>26.942359759110101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-2.8421709430404007E-14</v>
      </c>
      <c r="AJ157" s="13">
        <f>AI157*VLOOKUP('Données projet'!$B$10,Paramètres!$A$1:$I$89,3,0)*VLOOKUP('Données projet'!$B$10,Paramètres!$A$1:$I$89,5,0)</f>
        <v>-1.7735146684572101E-14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150.88336605939878</v>
      </c>
      <c r="AO157" s="59">
        <f t="shared" si="144"/>
        <v>268.54782308462387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14.092462126248085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6.1959194683899325E-15</v>
      </c>
      <c r="AX157" s="21">
        <f t="shared" si="166"/>
        <v>14.09246212624809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1.9065282685915009E-13</v>
      </c>
      <c r="P158" s="13">
        <f t="shared" si="141"/>
        <v>2.6568987209435707E-12</v>
      </c>
      <c r="Q158" s="20">
        <f t="shared" si="162"/>
        <v>4.959485612423072E-12</v>
      </c>
      <c r="R158" s="59">
        <f t="shared" si="109"/>
        <v>293.33333333333826</v>
      </c>
      <c r="S158" s="59">
        <f ca="1">AVERAGE(OFFSET($R$3,0,0,'Données projet'!$E$9+1,1))-AVERAGE(OFFSET($H$3,0,0,'Données projet'!$E$9+1,1))</f>
        <v>320.29885421543776</v>
      </c>
      <c r="T158" s="59">
        <f t="shared" si="142"/>
        <v>546.34638548793396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23.13356231362669</v>
      </c>
      <c r="AA158" s="21">
        <f>EXP(-LN(2)/25)*AA157+(1-EXP(-LN(2)/25))/(LN(2)/25)*Calculateur!V158*Calculateur!X158*VLOOKUP('Données projet'!$B$9,Paramètres!$A$1:$I$89,3,0)*0.475*44/12</f>
        <v>3.2545899887840313</v>
      </c>
      <c r="AB158" s="21">
        <f>EXP(-LN(2)/2)*AB157+(1-EXP(-LN(2)/2))/(LN(2)/2)*V158*Y158*VLOOKUP('Données projet'!$B$9,Paramètres!$A$1:$I$89,3,0)*0.475*44/12</f>
        <v>1.1933923811193435E-15</v>
      </c>
      <c r="AC158" s="22">
        <f t="shared" si="163"/>
        <v>26.38815230241072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-2.8421709430404007E-14</v>
      </c>
      <c r="AJ158" s="13">
        <f>AI158*VLOOKUP('Données projet'!$B$10,Paramètres!$A$1:$I$89,3,0)*VLOOKUP('Données projet'!$B$10,Paramètres!$A$1:$I$89,5,0)</f>
        <v>-1.7735146684572101E-14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150.88336605939878</v>
      </c>
      <c r="AO158" s="59">
        <f t="shared" si="144"/>
        <v>268.54782308462387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13.816117539505516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4.3811766717842698E-15</v>
      </c>
      <c r="AX158" s="21">
        <f t="shared" si="166"/>
        <v>13.81611753950552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1.9065282685915009E-13</v>
      </c>
      <c r="P159" s="13">
        <f t="shared" si="141"/>
        <v>2.6568987209435707E-12</v>
      </c>
      <c r="Q159" s="20">
        <f t="shared" si="162"/>
        <v>4.959485612423072E-12</v>
      </c>
      <c r="R159" s="59">
        <f t="shared" si="109"/>
        <v>293.33333333333826</v>
      </c>
      <c r="S159" s="59">
        <f ca="1">AVERAGE(OFFSET($R$3,0,0,'Données projet'!$E$9+1,1))-AVERAGE(OFFSET($H$3,0,0,'Données projet'!$E$9+1,1))</f>
        <v>320.29885421543776</v>
      </c>
      <c r="T159" s="59">
        <f t="shared" si="142"/>
        <v>546.34638548793396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22.679927266736229</v>
      </c>
      <c r="AA159" s="21">
        <f>EXP(-LN(2)/25)*AA158+(1-EXP(-LN(2)/25))/(LN(2)/25)*Calculateur!V159*Calculateur!X159*VLOOKUP('Données projet'!$B$9,Paramètres!$A$1:$I$89,3,0)*0.475*44/12</f>
        <v>3.1655930543892827</v>
      </c>
      <c r="AB159" s="21">
        <f>EXP(-LN(2)/2)*AB158+(1-EXP(-LN(2)/2))/(LN(2)/2)*V159*Y159*VLOOKUP('Données projet'!$B$9,Paramètres!$A$1:$I$89,3,0)*0.475*44/12</f>
        <v>8.438558453058486E-16</v>
      </c>
      <c r="AC159" s="22">
        <f t="shared" si="163"/>
        <v>25.845520321125512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-2.8421709430404007E-14</v>
      </c>
      <c r="AJ159" s="13">
        <f>AI159*VLOOKUP('Données projet'!$B$10,Paramètres!$A$1:$I$89,3,0)*VLOOKUP('Données projet'!$B$10,Paramètres!$A$1:$I$89,5,0)</f>
        <v>-1.7735146684572101E-14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150.88336605939878</v>
      </c>
      <c r="AO159" s="59">
        <f t="shared" si="144"/>
        <v>268.54782308462387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13.545191901555414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3.0979597341949663E-15</v>
      </c>
      <c r="AX159" s="21">
        <f t="shared" si="166"/>
        <v>13.545191901555418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1.9065282685915009E-13</v>
      </c>
      <c r="P160" s="13">
        <f t="shared" si="141"/>
        <v>2.6568987209435707E-12</v>
      </c>
      <c r="Q160" s="20">
        <f t="shared" si="162"/>
        <v>4.959485612423072E-12</v>
      </c>
      <c r="R160" s="59">
        <f t="shared" si="109"/>
        <v>293.33333333333826</v>
      </c>
      <c r="S160" s="59">
        <f ca="1">AVERAGE(OFFSET($R$3,0,0,'Données projet'!$E$9+1,1))-AVERAGE(OFFSET($H$3,0,0,'Données projet'!$E$9+1,1))</f>
        <v>320.29885421543776</v>
      </c>
      <c r="T160" s="59">
        <f t="shared" si="142"/>
        <v>546.34638548793396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22.235187726425231</v>
      </c>
      <c r="AA160" s="21">
        <f>EXP(-LN(2)/25)*AA159+(1-EXP(-LN(2)/25))/(LN(2)/25)*Calculateur!V160*Calculateur!X160*VLOOKUP('Données projet'!$B$9,Paramètres!$A$1:$I$89,3,0)*0.475*44/12</f>
        <v>3.0790297458457041</v>
      </c>
      <c r="AB160" s="21">
        <f>EXP(-LN(2)/2)*AB159+(1-EXP(-LN(2)/2))/(LN(2)/2)*V160*Y160*VLOOKUP('Données projet'!$B$9,Paramètres!$A$1:$I$89,3,0)*0.475*44/12</f>
        <v>5.9669619055967177E-16</v>
      </c>
      <c r="AC160" s="22">
        <f t="shared" si="163"/>
        <v>25.314217472270936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-2.8421709430404007E-14</v>
      </c>
      <c r="AJ160" s="13">
        <f>AI160*VLOOKUP('Données projet'!$B$10,Paramètres!$A$1:$I$89,3,0)*VLOOKUP('Données projet'!$B$10,Paramètres!$A$1:$I$89,5,0)</f>
        <v>-1.7735146684572101E-14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150.88336605939878</v>
      </c>
      <c r="AO160" s="59">
        <f t="shared" si="144"/>
        <v>268.54782308462387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13.279578950117193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2.1905883358921349E-15</v>
      </c>
      <c r="AX160" s="21">
        <f t="shared" si="166"/>
        <v>13.279578950117195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1.9065282685915009E-13</v>
      </c>
      <c r="P161" s="13">
        <f t="shared" si="141"/>
        <v>2.6568987209435707E-12</v>
      </c>
      <c r="Q161" s="20">
        <f t="shared" si="162"/>
        <v>4.959485612423072E-12</v>
      </c>
      <c r="R161" s="59">
        <f t="shared" si="109"/>
        <v>293.33333333333826</v>
      </c>
      <c r="S161" s="59">
        <f ca="1">AVERAGE(OFFSET($R$3,0,0,'Données projet'!$E$9+1,1))-AVERAGE(OFFSET($H$3,0,0,'Données projet'!$E$9+1,1))</f>
        <v>320.29885421543776</v>
      </c>
      <c r="T161" s="59">
        <f t="shared" si="142"/>
        <v>546.34638548793396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21.799169257235398</v>
      </c>
      <c r="AA161" s="21">
        <f>EXP(-LN(2)/25)*AA160+(1-EXP(-LN(2)/25))/(LN(2)/25)*Calculateur!V161*Calculateur!X161*VLOOKUP('Données projet'!$B$9,Paramètres!$A$1:$I$89,3,0)*0.475*44/12</f>
        <v>2.9948335155264161</v>
      </c>
      <c r="AB161" s="21">
        <f>EXP(-LN(2)/2)*AB160+(1-EXP(-LN(2)/2))/(LN(2)/2)*V161*Y161*VLOOKUP('Données projet'!$B$9,Paramètres!$A$1:$I$89,3,0)*0.475*44/12</f>
        <v>4.219279226529243E-16</v>
      </c>
      <c r="AC161" s="22">
        <f t="shared" si="163"/>
        <v>24.794002772761814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-2.8421709430404007E-14</v>
      </c>
      <c r="AJ161" s="13">
        <f>AI161*VLOOKUP('Données projet'!$B$10,Paramètres!$A$1:$I$89,3,0)*VLOOKUP('Données projet'!$B$10,Paramètres!$A$1:$I$89,5,0)</f>
        <v>-1.7735146684572101E-14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150.88336605939878</v>
      </c>
      <c r="AO161" s="59">
        <f t="shared" si="144"/>
        <v>268.54782308462387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13.019174506648771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1.5489798670974831E-15</v>
      </c>
      <c r="AX161" s="21">
        <f t="shared" si="166"/>
        <v>13.019174506648772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1.9065282685915009E-13</v>
      </c>
      <c r="P162" s="13">
        <f t="shared" si="141"/>
        <v>2.6568987209435707E-12</v>
      </c>
      <c r="Q162" s="20">
        <f t="shared" si="162"/>
        <v>4.959485612423072E-12</v>
      </c>
      <c r="R162" s="59">
        <f t="shared" si="109"/>
        <v>293.33333333333826</v>
      </c>
      <c r="S162" s="59">
        <f ca="1">AVERAGE(OFFSET($R$3,0,0,'Données projet'!$E$9+1,1))-AVERAGE(OFFSET($H$3,0,0,'Données projet'!$E$9+1,1))</f>
        <v>320.29885421543776</v>
      </c>
      <c r="T162" s="59">
        <f t="shared" si="142"/>
        <v>546.34638548793396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21.371700844281371</v>
      </c>
      <c r="AA162" s="21">
        <f>EXP(-LN(2)/25)*AA161+(1-EXP(-LN(2)/25))/(LN(2)/25)*Calculateur!V162*Calculateur!X162*VLOOKUP('Données projet'!$B$9,Paramètres!$A$1:$I$89,3,0)*0.475*44/12</f>
        <v>2.9129396355528963</v>
      </c>
      <c r="AB162" s="21">
        <f>EXP(-LN(2)/2)*AB161+(1-EXP(-LN(2)/2))/(LN(2)/2)*V162*Y162*VLOOKUP('Données projet'!$B$9,Paramètres!$A$1:$I$89,3,0)*0.475*44/12</f>
        <v>2.9834809527983589E-16</v>
      </c>
      <c r="AC162" s="22">
        <f t="shared" si="163"/>
        <v>24.284640479834266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-2.8421709430404007E-14</v>
      </c>
      <c r="AJ162" s="13">
        <f>AI162*VLOOKUP('Données projet'!$B$10,Paramètres!$A$1:$I$89,3,0)*VLOOKUP('Données projet'!$B$10,Paramètres!$A$1:$I$89,5,0)</f>
        <v>-1.7735146684572101E-14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150.88336605939878</v>
      </c>
      <c r="AO162" s="59">
        <f t="shared" si="144"/>
        <v>268.54782308462387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12.763876435485738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1.0952941679460674E-15</v>
      </c>
      <c r="AX162" s="21">
        <f t="shared" si="166"/>
        <v>12.76387643548574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1.9065282685915009E-13</v>
      </c>
      <c r="P163" s="13">
        <f t="shared" si="141"/>
        <v>2.6568987209435707E-12</v>
      </c>
      <c r="Q163" s="20">
        <f t="shared" si="162"/>
        <v>4.959485612423072E-12</v>
      </c>
      <c r="R163" s="59">
        <f t="shared" si="109"/>
        <v>293.33333333333826</v>
      </c>
      <c r="S163" s="59">
        <f ca="1">AVERAGE(OFFSET($R$3,0,0,'Données projet'!$E$9+1,1))-AVERAGE(OFFSET($H$3,0,0,'Données projet'!$E$9+1,1))</f>
        <v>320.29885421543776</v>
      </c>
      <c r="T163" s="59">
        <f t="shared" si="142"/>
        <v>546.34638548793396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20.952614826175385</v>
      </c>
      <c r="AA163" s="21">
        <f>EXP(-LN(2)/25)*AA162+(1-EXP(-LN(2)/25))/(LN(2)/25)*Calculateur!V163*Calculateur!X163*VLOOKUP('Données projet'!$B$9,Paramètres!$A$1:$I$89,3,0)*0.475*44/12</f>
        <v>2.8332851480338643</v>
      </c>
      <c r="AB163" s="21">
        <f>EXP(-LN(2)/2)*AB162+(1-EXP(-LN(2)/2))/(LN(2)/2)*V163*Y163*VLOOKUP('Données projet'!$B$9,Paramètres!$A$1:$I$89,3,0)*0.475*44/12</f>
        <v>2.1096396132646215E-16</v>
      </c>
      <c r="AC163" s="22">
        <f t="shared" si="163"/>
        <v>23.785899974209251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-2.8421709430404007E-14</v>
      </c>
      <c r="AJ163" s="13">
        <f>AI163*VLOOKUP('Données projet'!$B$10,Paramètres!$A$1:$I$89,3,0)*VLOOKUP('Données projet'!$B$10,Paramètres!$A$1:$I$89,5,0)</f>
        <v>-1.7735146684572101E-14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150.88336605939878</v>
      </c>
      <c r="AO163" s="59">
        <f t="shared" si="144"/>
        <v>268.54782308462387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12.513584603781764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7.7448993354874157E-16</v>
      </c>
      <c r="AX163" s="21">
        <f t="shared" si="166"/>
        <v>12.513584603781764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1.9065282685915009E-13</v>
      </c>
      <c r="P164" s="13">
        <f t="shared" si="141"/>
        <v>2.6568987209435707E-12</v>
      </c>
      <c r="Q164" s="20">
        <f t="shared" si="162"/>
        <v>4.959485612423072E-12</v>
      </c>
      <c r="R164" s="59">
        <f t="shared" si="109"/>
        <v>293.33333333333826</v>
      </c>
      <c r="S164" s="59">
        <f ca="1">AVERAGE(OFFSET($R$3,0,0,'Données projet'!$E$9+1,1))-AVERAGE(OFFSET($H$3,0,0,'Données projet'!$E$9+1,1))</f>
        <v>320.29885421543776</v>
      </c>
      <c r="T164" s="59">
        <f t="shared" si="142"/>
        <v>546.34638548793396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20.541746829267225</v>
      </c>
      <c r="AA164" s="21">
        <f>EXP(-LN(2)/25)*AA163+(1-EXP(-LN(2)/25))/(LN(2)/25)*Calculateur!V164*Calculateur!X164*VLOOKUP('Données projet'!$B$9,Paramètres!$A$1:$I$89,3,0)*0.475*44/12</f>
        <v>2.7558088166648878</v>
      </c>
      <c r="AB164" s="21">
        <f>EXP(-LN(2)/2)*AB163+(1-EXP(-LN(2)/2))/(LN(2)/2)*V164*Y164*VLOOKUP('Données projet'!$B$9,Paramètres!$A$1:$I$89,3,0)*0.475*44/12</f>
        <v>1.4917404763991794E-16</v>
      </c>
      <c r="AC164" s="22">
        <f t="shared" si="163"/>
        <v>23.297555645932114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-2.8421709430404007E-14</v>
      </c>
      <c r="AJ164" s="13">
        <f>AI164*VLOOKUP('Données projet'!$B$10,Paramètres!$A$1:$I$89,3,0)*VLOOKUP('Données projet'!$B$10,Paramètres!$A$1:$I$89,5,0)</f>
        <v>-1.7735146684572101E-14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150.88336605939878</v>
      </c>
      <c r="AO164" s="59">
        <f t="shared" si="144"/>
        <v>268.54782308462387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12.268200842234561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5.4764708397303372E-16</v>
      </c>
      <c r="AX164" s="21">
        <f t="shared" si="166"/>
        <v>12.268200842234561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1.9065282685915009E-13</v>
      </c>
      <c r="P165" s="13">
        <f t="shared" si="141"/>
        <v>2.6568987209435707E-12</v>
      </c>
      <c r="Q165" s="20">
        <f t="shared" si="162"/>
        <v>4.959485612423072E-12</v>
      </c>
      <c r="R165" s="59">
        <f t="shared" si="109"/>
        <v>293.33333333333826</v>
      </c>
      <c r="S165" s="59">
        <f ca="1">AVERAGE(OFFSET($R$3,0,0,'Données projet'!$E$9+1,1))-AVERAGE(OFFSET($H$3,0,0,'Données projet'!$E$9+1,1))</f>
        <v>320.29885421543776</v>
      </c>
      <c r="T165" s="59">
        <f t="shared" si="142"/>
        <v>546.34638548793396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20.138935703173704</v>
      </c>
      <c r="AA165" s="21">
        <f>EXP(-LN(2)/25)*AA164+(1-EXP(-LN(2)/25))/(LN(2)/25)*Calculateur!V165*Calculateur!X165*VLOOKUP('Données projet'!$B$9,Paramètres!$A$1:$I$89,3,0)*0.475*44/12</f>
        <v>2.6804510796514993</v>
      </c>
      <c r="AB165" s="21">
        <f>EXP(-LN(2)/2)*AB164+(1-EXP(-LN(2)/2))/(LN(2)/2)*V165*Y165*VLOOKUP('Données projet'!$B$9,Paramètres!$A$1:$I$89,3,0)*0.475*44/12</f>
        <v>1.0548198066323107E-16</v>
      </c>
      <c r="AC165" s="22">
        <f t="shared" si="163"/>
        <v>22.819386782825205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-2.8421709430404007E-14</v>
      </c>
      <c r="AJ165" s="13">
        <f>AI165*VLOOKUP('Données projet'!$B$10,Paramètres!$A$1:$I$89,3,0)*VLOOKUP('Données projet'!$B$10,Paramètres!$A$1:$I$89,5,0)</f>
        <v>-1.7735146684572101E-14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150.88336605939878</v>
      </c>
      <c r="AO165" s="59">
        <f t="shared" si="144"/>
        <v>268.54782308462387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12.027628906581985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3.8724496677437078E-16</v>
      </c>
      <c r="AX165" s="21">
        <f t="shared" si="166"/>
        <v>12.027628906581985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1.9065282685915009E-13</v>
      </c>
      <c r="P166" s="13">
        <f t="shared" si="141"/>
        <v>2.6568987209435707E-12</v>
      </c>
      <c r="Q166" s="20">
        <f t="shared" si="162"/>
        <v>4.959485612423072E-12</v>
      </c>
      <c r="R166" s="59">
        <f t="shared" si="109"/>
        <v>293.33333333333826</v>
      </c>
      <c r="S166" s="59">
        <f ca="1">AVERAGE(OFFSET($R$3,0,0,'Données projet'!$E$9+1,1))-AVERAGE(OFFSET($H$3,0,0,'Données projet'!$E$9+1,1))</f>
        <v>320.29885421543776</v>
      </c>
      <c r="T166" s="59">
        <f t="shared" si="142"/>
        <v>546.34638548793396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19.744023457572347</v>
      </c>
      <c r="AA166" s="21">
        <f>EXP(-LN(2)/25)*AA165+(1-EXP(-LN(2)/25))/(LN(2)/25)*Calculateur!V166*Calculateur!X166*VLOOKUP('Données projet'!$B$9,Paramètres!$A$1:$I$89,3,0)*0.475*44/12</f>
        <v>2.607154003919633</v>
      </c>
      <c r="AB166" s="21">
        <f>EXP(-LN(2)/2)*AB165+(1-EXP(-LN(2)/2))/(LN(2)/2)*V166*Y166*VLOOKUP('Données projet'!$B$9,Paramètres!$A$1:$I$89,3,0)*0.475*44/12</f>
        <v>7.4587023819958972E-17</v>
      </c>
      <c r="AC166" s="22">
        <f t="shared" si="163"/>
        <v>22.351177461491979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-2.8421709430404007E-14</v>
      </c>
      <c r="AJ166" s="13">
        <f>AI166*VLOOKUP('Données projet'!$B$10,Paramètres!$A$1:$I$89,3,0)*VLOOKUP('Données projet'!$B$10,Paramètres!$A$1:$I$89,5,0)</f>
        <v>-1.7735146684572101E-14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150.88336605939878</v>
      </c>
      <c r="AO166" s="59">
        <f t="shared" si="144"/>
        <v>268.54782308462387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11.791774439853162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2.7382354198651686E-16</v>
      </c>
      <c r="AX166" s="21">
        <f t="shared" si="166"/>
        <v>11.791774439853162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1.9065282685915009E-13</v>
      </c>
      <c r="P167" s="13">
        <f t="shared" si="141"/>
        <v>2.6568987209435707E-12</v>
      </c>
      <c r="Q167" s="20">
        <f t="shared" si="162"/>
        <v>4.959485612423072E-12</v>
      </c>
      <c r="R167" s="59">
        <f t="shared" si="109"/>
        <v>293.33333333333826</v>
      </c>
      <c r="S167" s="59">
        <f ca="1">AVERAGE(OFFSET($R$3,0,0,'Données projet'!$E$9+1,1))-AVERAGE(OFFSET($H$3,0,0,'Données projet'!$E$9+1,1))</f>
        <v>320.29885421543776</v>
      </c>
      <c r="T167" s="59">
        <f t="shared" si="142"/>
        <v>546.34638548793396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19.356855200234548</v>
      </c>
      <c r="AA167" s="21">
        <f>EXP(-LN(2)/25)*AA166+(1-EXP(-LN(2)/25))/(LN(2)/25)*Calculateur!V167*Calculateur!X167*VLOOKUP('Données projet'!$B$9,Paramètres!$A$1:$I$89,3,0)*0.475*44/12</f>
        <v>2.5358612405781802</v>
      </c>
      <c r="AB167" s="21">
        <f>EXP(-LN(2)/2)*AB166+(1-EXP(-LN(2)/2))/(LN(2)/2)*V167*Y167*VLOOKUP('Données projet'!$B$9,Paramètres!$A$1:$I$89,3,0)*0.475*44/12</f>
        <v>5.2740990331615537E-17</v>
      </c>
      <c r="AC167" s="22">
        <f t="shared" si="163"/>
        <v>21.892716440812727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-2.8421709430404007E-14</v>
      </c>
      <c r="AJ167" s="13">
        <f>AI167*VLOOKUP('Données projet'!$B$10,Paramètres!$A$1:$I$89,3,0)*VLOOKUP('Données projet'!$B$10,Paramètres!$A$1:$I$89,5,0)</f>
        <v>-1.7735146684572101E-14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150.88336605939878</v>
      </c>
      <c r="AO167" s="59">
        <f t="shared" si="144"/>
        <v>268.54782308462387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11.560544935359871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1.9362248338718539E-16</v>
      </c>
      <c r="AX167" s="21">
        <f t="shared" si="166"/>
        <v>11.560544935359871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1.9065282685915009E-13</v>
      </c>
      <c r="P168" s="13">
        <f t="shared" si="141"/>
        <v>2.6568987209435707E-12</v>
      </c>
      <c r="Q168" s="20">
        <f t="shared" si="162"/>
        <v>4.959485612423072E-12</v>
      </c>
      <c r="R168" s="59">
        <f t="shared" si="109"/>
        <v>293.33333333333826</v>
      </c>
      <c r="S168" s="59">
        <f ca="1">AVERAGE(OFFSET($R$3,0,0,'Données projet'!$E$9+1,1))-AVERAGE(OFFSET($H$3,0,0,'Données projet'!$E$9+1,1))</f>
        <v>320.29885421543776</v>
      </c>
      <c r="T168" s="59">
        <f t="shared" si="142"/>
        <v>546.34638548793396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18.977279076273824</v>
      </c>
      <c r="AA168" s="21">
        <f>EXP(-LN(2)/25)*AA167+(1-EXP(-LN(2)/25))/(LN(2)/25)*Calculateur!V168*Calculateur!X168*VLOOKUP('Données projet'!$B$9,Paramètres!$A$1:$I$89,3,0)*0.475*44/12</f>
        <v>2.4665179815994231</v>
      </c>
      <c r="AB168" s="21">
        <f>EXP(-LN(2)/2)*AB167+(1-EXP(-LN(2)/2))/(LN(2)/2)*V168*Y168*VLOOKUP('Données projet'!$B$9,Paramètres!$A$1:$I$89,3,0)*0.475*44/12</f>
        <v>3.7293511909979486E-17</v>
      </c>
      <c r="AC168" s="22">
        <f t="shared" si="163"/>
        <v>21.443797057873248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-2.8421709430404007E-14</v>
      </c>
      <c r="AJ168" s="13">
        <f>AI168*VLOOKUP('Données projet'!$B$10,Paramètres!$A$1:$I$89,3,0)*VLOOKUP('Données projet'!$B$10,Paramètres!$A$1:$I$89,5,0)</f>
        <v>-1.7735146684572101E-14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150.88336605939878</v>
      </c>
      <c r="AO168" s="59">
        <f t="shared" si="144"/>
        <v>268.54782308462387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11.333849700413623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1.3691177099325843E-16</v>
      </c>
      <c r="AX168" s="21">
        <f t="shared" si="166"/>
        <v>11.333849700413623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1.9065282685915009E-13</v>
      </c>
      <c r="P169" s="13">
        <f t="shared" si="141"/>
        <v>2.6568987209435707E-12</v>
      </c>
      <c r="Q169" s="20">
        <f t="shared" si="162"/>
        <v>4.959485612423072E-12</v>
      </c>
      <c r="R169" s="59">
        <f t="shared" si="109"/>
        <v>293.33333333333826</v>
      </c>
      <c r="S169" s="59">
        <f ca="1">AVERAGE(OFFSET($R$3,0,0,'Données projet'!$E$9+1,1))-AVERAGE(OFFSET($H$3,0,0,'Données projet'!$E$9+1,1))</f>
        <v>320.29885421543776</v>
      </c>
      <c r="T169" s="59">
        <f t="shared" si="142"/>
        <v>546.34638548793396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18.605146208585396</v>
      </c>
      <c r="AA169" s="21">
        <f>EXP(-LN(2)/25)*AA168+(1-EXP(-LN(2)/25))/(LN(2)/25)*Calculateur!V169*Calculateur!X169*VLOOKUP('Données projet'!$B$9,Paramètres!$A$1:$I$89,3,0)*0.475*44/12</f>
        <v>2.3990709176840435</v>
      </c>
      <c r="AB169" s="21">
        <f>EXP(-LN(2)/2)*AB168+(1-EXP(-LN(2)/2))/(LN(2)/2)*V169*Y169*VLOOKUP('Données projet'!$B$9,Paramètres!$A$1:$I$89,3,0)*0.475*44/12</f>
        <v>2.6370495165807769E-17</v>
      </c>
      <c r="AC169" s="22">
        <f t="shared" si="163"/>
        <v>21.004217126269438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-2.8421709430404007E-14</v>
      </c>
      <c r="AJ169" s="13">
        <f>AI169*VLOOKUP('Données projet'!$B$10,Paramètres!$A$1:$I$89,3,0)*VLOOKUP('Données projet'!$B$10,Paramètres!$A$1:$I$89,5,0)</f>
        <v>-1.7735146684572101E-14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150.88336605939878</v>
      </c>
      <c r="AO169" s="59">
        <f t="shared" si="144"/>
        <v>268.54782308462387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11.111599820754231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9.6811241693592696E-17</v>
      </c>
      <c r="AX169" s="21">
        <f t="shared" si="166"/>
        <v>11.111599820754231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1.9065282685915009E-13</v>
      </c>
      <c r="P170" s="13">
        <f t="shared" si="141"/>
        <v>2.6568987209435707E-12</v>
      </c>
      <c r="Q170" s="20">
        <f t="shared" si="162"/>
        <v>4.959485612423072E-12</v>
      </c>
      <c r="R170" s="59">
        <f t="shared" si="109"/>
        <v>293.33333333333826</v>
      </c>
      <c r="S170" s="59">
        <f ca="1">AVERAGE(OFFSET($R$3,0,0,'Données projet'!$E$9+1,1))-AVERAGE(OFFSET($H$3,0,0,'Données projet'!$E$9+1,1))</f>
        <v>320.29885421543776</v>
      </c>
      <c r="T170" s="59">
        <f t="shared" si="142"/>
        <v>546.34638548793396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18.2403106394537</v>
      </c>
      <c r="AA170" s="21">
        <f>EXP(-LN(2)/25)*AA169+(1-EXP(-LN(2)/25))/(LN(2)/25)*Calculateur!V170*Calculateur!X170*VLOOKUP('Données projet'!$B$9,Paramètres!$A$1:$I$89,3,0)*0.475*44/12</f>
        <v>2.3334681972783167</v>
      </c>
      <c r="AB170" s="21">
        <f>EXP(-LN(2)/2)*AB169+(1-EXP(-LN(2)/2))/(LN(2)/2)*V170*Y170*VLOOKUP('Données projet'!$B$9,Paramètres!$A$1:$I$89,3,0)*0.475*44/12</f>
        <v>1.8646755954989743E-17</v>
      </c>
      <c r="AC170" s="22">
        <f t="shared" si="163"/>
        <v>20.573778836732018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-2.8421709430404007E-14</v>
      </c>
      <c r="AJ170" s="13">
        <f>AI170*VLOOKUP('Données projet'!$B$10,Paramètres!$A$1:$I$89,3,0)*VLOOKUP('Données projet'!$B$10,Paramètres!$A$1:$I$89,5,0)</f>
        <v>-1.7735146684572101E-14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150.88336605939878</v>
      </c>
      <c r="AO170" s="59">
        <f t="shared" si="144"/>
        <v>268.54782308462387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10.893708125675918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6.8455885496629215E-17</v>
      </c>
      <c r="AX170" s="21">
        <f t="shared" si="166"/>
        <v>10.893708125675918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1.9065282685915009E-13</v>
      </c>
      <c r="P171" s="13">
        <f t="shared" si="141"/>
        <v>2.6568987209435707E-12</v>
      </c>
      <c r="Q171" s="20">
        <f t="shared" si="162"/>
        <v>4.959485612423072E-12</v>
      </c>
      <c r="R171" s="59">
        <f t="shared" si="109"/>
        <v>293.33333333333826</v>
      </c>
      <c r="S171" s="59">
        <f ca="1">AVERAGE(OFFSET($R$3,0,0,'Données projet'!$E$9+1,1))-AVERAGE(OFFSET($H$3,0,0,'Données projet'!$E$9+1,1))</f>
        <v>320.29885421543776</v>
      </c>
      <c r="T171" s="59">
        <f t="shared" si="142"/>
        <v>546.34638548793396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17.882629273304953</v>
      </c>
      <c r="AA171" s="21">
        <f>EXP(-LN(2)/25)*AA170+(1-EXP(-LN(2)/25))/(LN(2)/25)*Calculateur!V171*Calculateur!X171*VLOOKUP('Données projet'!$B$9,Paramètres!$A$1:$I$89,3,0)*0.475*44/12</f>
        <v>2.2696593867119819</v>
      </c>
      <c r="AB171" s="21">
        <f>EXP(-LN(2)/2)*AB170+(1-EXP(-LN(2)/2))/(LN(2)/2)*V171*Y171*VLOOKUP('Données projet'!$B$9,Paramètres!$A$1:$I$89,3,0)*0.475*44/12</f>
        <v>1.3185247582903884E-17</v>
      </c>
      <c r="AC171" s="22">
        <f t="shared" si="163"/>
        <v>20.152288660016936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-2.8421709430404007E-14</v>
      </c>
      <c r="AJ171" s="13">
        <f>AI171*VLOOKUP('Données projet'!$B$10,Paramètres!$A$1:$I$89,3,0)*VLOOKUP('Données projet'!$B$10,Paramètres!$A$1:$I$89,5,0)</f>
        <v>-1.7735146684572101E-14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150.88336605939878</v>
      </c>
      <c r="AO171" s="59">
        <f t="shared" si="144"/>
        <v>268.54782308462387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10.68008915383728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4.8405620846796348E-17</v>
      </c>
      <c r="AX171" s="21">
        <f t="shared" si="166"/>
        <v>10.68008915383728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1.9065282685915009E-13</v>
      </c>
      <c r="P172" s="13">
        <f t="shared" si="141"/>
        <v>2.6568987209435707E-12</v>
      </c>
      <c r="Q172" s="20">
        <f t="shared" si="162"/>
        <v>4.959485612423072E-12</v>
      </c>
      <c r="R172" s="59">
        <f t="shared" si="109"/>
        <v>293.33333333333826</v>
      </c>
      <c r="S172" s="59">
        <f ca="1">AVERAGE(OFFSET($R$3,0,0,'Données projet'!$E$9+1,1))-AVERAGE(OFFSET($H$3,0,0,'Données projet'!$E$9+1,1))</f>
        <v>320.29885421543776</v>
      </c>
      <c r="T172" s="59">
        <f t="shared" si="142"/>
        <v>546.34638548793396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17.531961820582293</v>
      </c>
      <c r="AA172" s="21">
        <f>EXP(-LN(2)/25)*AA171+(1-EXP(-LN(2)/25))/(LN(2)/25)*Calculateur!V172*Calculateur!X172*VLOOKUP('Données projet'!$B$9,Paramètres!$A$1:$I$89,3,0)*0.475*44/12</f>
        <v>2.2075954314261428</v>
      </c>
      <c r="AB172" s="21">
        <f>EXP(-LN(2)/2)*AB171+(1-EXP(-LN(2)/2))/(LN(2)/2)*V172*Y172*VLOOKUP('Données projet'!$B$9,Paramètres!$A$1:$I$89,3,0)*0.475*44/12</f>
        <v>9.3233779774948715E-18</v>
      </c>
      <c r="AC172" s="22">
        <f t="shared" si="163"/>
        <v>19.739557252008435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-2.8421709430404007E-14</v>
      </c>
      <c r="AJ172" s="13">
        <f>AI172*VLOOKUP('Données projet'!$B$10,Paramètres!$A$1:$I$89,3,0)*VLOOKUP('Données projet'!$B$10,Paramètres!$A$1:$I$89,5,0)</f>
        <v>-1.7735146684572101E-14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150.88336605939878</v>
      </c>
      <c r="AO172" s="59">
        <f t="shared" si="144"/>
        <v>268.54782308462387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10.47065911974169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3.4227942748314608E-17</v>
      </c>
      <c r="AX172" s="21">
        <f t="shared" si="166"/>
        <v>10.47065911974169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1.9065282685915009E-13</v>
      </c>
      <c r="P173" s="13">
        <f t="shared" si="141"/>
        <v>2.6568987209435707E-12</v>
      </c>
      <c r="Q173" s="20">
        <f t="shared" si="162"/>
        <v>4.959485612423072E-12</v>
      </c>
      <c r="R173" s="59">
        <f t="shared" si="109"/>
        <v>293.33333333333826</v>
      </c>
      <c r="S173" s="59">
        <f ca="1">AVERAGE(OFFSET($R$3,0,0,'Données projet'!$E$9+1,1))-AVERAGE(OFFSET($H$3,0,0,'Données projet'!$E$9+1,1))</f>
        <v>320.29885421543776</v>
      </c>
      <c r="T173" s="59">
        <f t="shared" si="142"/>
        <v>546.34638548793396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17.188170742721496</v>
      </c>
      <c r="AA173" s="21">
        <f>EXP(-LN(2)/25)*AA172+(1-EXP(-LN(2)/25))/(LN(2)/25)*Calculateur!V173*Calculateur!X173*VLOOKUP('Données projet'!$B$9,Paramètres!$A$1:$I$89,3,0)*0.475*44/12</f>
        <v>2.1472286182613969</v>
      </c>
      <c r="AB173" s="21">
        <f>EXP(-LN(2)/2)*AB172+(1-EXP(-LN(2)/2))/(LN(2)/2)*V173*Y173*VLOOKUP('Données projet'!$B$9,Paramètres!$A$1:$I$89,3,0)*0.475*44/12</f>
        <v>6.5926237914519422E-18</v>
      </c>
      <c r="AC173" s="22">
        <f t="shared" si="163"/>
        <v>19.335399360982894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-2.8421709430404007E-14</v>
      </c>
      <c r="AJ173" s="13">
        <f>AI173*VLOOKUP('Données projet'!$B$10,Paramètres!$A$1:$I$89,3,0)*VLOOKUP('Données projet'!$B$10,Paramètres!$A$1:$I$89,5,0)</f>
        <v>-1.7735146684572101E-14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150.88336605939878</v>
      </c>
      <c r="AO173" s="59">
        <f t="shared" si="144"/>
        <v>268.54782308462387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10.265335880875007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2.4202810423398174E-17</v>
      </c>
      <c r="AX173" s="21">
        <f t="shared" si="166"/>
        <v>10.265335880875007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1.9065282685915009E-13</v>
      </c>
      <c r="P174" s="13">
        <f t="shared" si="141"/>
        <v>2.6568987209435707E-12</v>
      </c>
      <c r="Q174" s="20">
        <f t="shared" si="162"/>
        <v>4.959485612423072E-12</v>
      </c>
      <c r="R174" s="59">
        <f t="shared" si="109"/>
        <v>293.33333333333826</v>
      </c>
      <c r="S174" s="59">
        <f ca="1">AVERAGE(OFFSET($R$3,0,0,'Données projet'!$E$9+1,1))-AVERAGE(OFFSET($H$3,0,0,'Données projet'!$E$9+1,1))</f>
        <v>320.29885421543776</v>
      </c>
      <c r="T174" s="59">
        <f t="shared" si="142"/>
        <v>546.34638548793396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16.851121198205696</v>
      </c>
      <c r="AA174" s="21">
        <f>EXP(-LN(2)/25)*AA173+(1-EXP(-LN(2)/25))/(LN(2)/25)*Calculateur!V174*Calculateur!X174*VLOOKUP('Données projet'!$B$9,Paramètres!$A$1:$I$89,3,0)*0.475*44/12</f>
        <v>2.0885125387771937</v>
      </c>
      <c r="AB174" s="21">
        <f>EXP(-LN(2)/2)*AB173+(1-EXP(-LN(2)/2))/(LN(2)/2)*V174*Y174*VLOOKUP('Données projet'!$B$9,Paramètres!$A$1:$I$89,3,0)*0.475*44/12</f>
        <v>4.6616889887474357E-18</v>
      </c>
      <c r="AC174" s="22">
        <f t="shared" si="163"/>
        <v>18.939633736982891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-2.8421709430404007E-14</v>
      </c>
      <c r="AJ174" s="13">
        <f>AI174*VLOOKUP('Données projet'!$B$10,Paramètres!$A$1:$I$89,3,0)*VLOOKUP('Données projet'!$B$10,Paramètres!$A$1:$I$89,5,0)</f>
        <v>-1.7735146684572101E-14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150.88336605939878</v>
      </c>
      <c r="AO174" s="59">
        <f t="shared" si="144"/>
        <v>268.54782308462387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10.06403890548769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1.7113971374157304E-17</v>
      </c>
      <c r="AX174" s="21">
        <f t="shared" si="166"/>
        <v>10.06403890548769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1.9065282685915009E-13</v>
      </c>
      <c r="P175" s="13">
        <f t="shared" si="141"/>
        <v>2.6568987209435707E-12</v>
      </c>
      <c r="Q175" s="20">
        <f t="shared" si="162"/>
        <v>4.959485612423072E-12</v>
      </c>
      <c r="R175" s="59">
        <f t="shared" si="109"/>
        <v>293.33333333333826</v>
      </c>
      <c r="S175" s="59">
        <f ca="1">AVERAGE(OFFSET($R$3,0,0,'Données projet'!$E$9+1,1))-AVERAGE(OFFSET($H$3,0,0,'Données projet'!$E$9+1,1))</f>
        <v>320.29885421543776</v>
      </c>
      <c r="T175" s="59">
        <f t="shared" si="142"/>
        <v>546.34638548793396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16.520680989677928</v>
      </c>
      <c r="AA175" s="21">
        <f>EXP(-LN(2)/25)*AA174+(1-EXP(-LN(2)/25))/(LN(2)/25)*Calculateur!V175*Calculateur!X175*VLOOKUP('Données projet'!$B$9,Paramètres!$A$1:$I$89,3,0)*0.475*44/12</f>
        <v>2.0314020535742303</v>
      </c>
      <c r="AB175" s="21">
        <f>EXP(-LN(2)/2)*AB174+(1-EXP(-LN(2)/2))/(LN(2)/2)*V175*Y175*VLOOKUP('Données projet'!$B$9,Paramètres!$A$1:$I$89,3,0)*0.475*44/12</f>
        <v>3.2963118957259711E-18</v>
      </c>
      <c r="AC175" s="22">
        <f t="shared" si="163"/>
        <v>18.552083043252157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-2.8421709430404007E-14</v>
      </c>
      <c r="AJ175" s="13">
        <f>AI175*VLOOKUP('Données projet'!$B$10,Paramètres!$A$1:$I$89,3,0)*VLOOKUP('Données projet'!$B$10,Paramètres!$A$1:$I$89,5,0)</f>
        <v>-1.7735146684572101E-14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150.88336605939878</v>
      </c>
      <c r="AO175" s="59">
        <f t="shared" si="144"/>
        <v>268.54782308462387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9.8666892410086859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1.2101405211699087E-17</v>
      </c>
      <c r="AX175" s="21">
        <f t="shared" si="166"/>
        <v>9.8666892410086859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1.9065282685915009E-13</v>
      </c>
      <c r="P176" s="13">
        <f t="shared" si="141"/>
        <v>2.6568987209435707E-12</v>
      </c>
      <c r="Q176" s="20">
        <f t="shared" si="162"/>
        <v>4.959485612423072E-12</v>
      </c>
      <c r="R176" s="59">
        <f t="shared" si="109"/>
        <v>293.33333333333826</v>
      </c>
      <c r="S176" s="59">
        <f ca="1">AVERAGE(OFFSET($R$3,0,0,'Données projet'!$E$9+1,1))-AVERAGE(OFFSET($H$3,0,0,'Données projet'!$E$9+1,1))</f>
        <v>320.29885421543776</v>
      </c>
      <c r="T176" s="59">
        <f t="shared" si="142"/>
        <v>546.34638548793396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16.196720512090764</v>
      </c>
      <c r="AA176" s="21">
        <f>EXP(-LN(2)/25)*AA175+(1-EXP(-LN(2)/25))/(LN(2)/25)*Calculateur!V176*Calculateur!X176*VLOOKUP('Données projet'!$B$9,Paramètres!$A$1:$I$89,3,0)*0.475*44/12</f>
        <v>1.9758532575924519</v>
      </c>
      <c r="AB176" s="21">
        <f>EXP(-LN(2)/2)*AB175+(1-EXP(-LN(2)/2))/(LN(2)/2)*V176*Y176*VLOOKUP('Données projet'!$B$9,Paramètres!$A$1:$I$89,3,0)*0.475*44/12</f>
        <v>2.3308444943737179E-18</v>
      </c>
      <c r="AC176" s="22">
        <f t="shared" si="163"/>
        <v>18.172573769683215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-2.8421709430404007E-14</v>
      </c>
      <c r="AJ176" s="13">
        <f>AI176*VLOOKUP('Données projet'!$B$10,Paramètres!$A$1:$I$89,3,0)*VLOOKUP('Données projet'!$B$10,Paramètres!$A$1:$I$89,5,0)</f>
        <v>-1.7735146684572101E-14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150.88336605939878</v>
      </c>
      <c r="AO176" s="59">
        <f t="shared" si="144"/>
        <v>268.54782308462387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9.6732094830787059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8.5569856870786519E-18</v>
      </c>
      <c r="AX176" s="21">
        <f t="shared" si="166"/>
        <v>9.6732094830787059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1.9065282685915009E-13</v>
      </c>
      <c r="P177" s="13">
        <f t="shared" si="141"/>
        <v>2.6568987209435707E-12</v>
      </c>
      <c r="Q177" s="20">
        <f t="shared" si="162"/>
        <v>4.959485612423072E-12</v>
      </c>
      <c r="R177" s="59">
        <f t="shared" si="109"/>
        <v>293.33333333333826</v>
      </c>
      <c r="S177" s="59">
        <f ca="1">AVERAGE(OFFSET($R$3,0,0,'Données projet'!$E$9+1,1))-AVERAGE(OFFSET($H$3,0,0,'Données projet'!$E$9+1,1))</f>
        <v>320.29885421543776</v>
      </c>
      <c r="T177" s="59">
        <f t="shared" si="142"/>
        <v>546.34638548793396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15.879112701872703</v>
      </c>
      <c r="AA177" s="21">
        <f>EXP(-LN(2)/25)*AA176+(1-EXP(-LN(2)/25))/(LN(2)/25)*Calculateur!V177*Calculateur!X177*VLOOKUP('Données projet'!$B$9,Paramètres!$A$1:$I$89,3,0)*0.475*44/12</f>
        <v>1.9218234463579793</v>
      </c>
      <c r="AB177" s="21">
        <f>EXP(-LN(2)/2)*AB176+(1-EXP(-LN(2)/2))/(LN(2)/2)*V177*Y177*VLOOKUP('Données projet'!$B$9,Paramètres!$A$1:$I$89,3,0)*0.475*44/12</f>
        <v>1.6481559478629855E-18</v>
      </c>
      <c r="AC177" s="22">
        <f t="shared" si="163"/>
        <v>17.800936148230683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-2.8421709430404007E-14</v>
      </c>
      <c r="AJ177" s="13">
        <f>AI177*VLOOKUP('Données projet'!$B$10,Paramètres!$A$1:$I$89,3,0)*VLOOKUP('Données projet'!$B$10,Paramètres!$A$1:$I$89,5,0)</f>
        <v>-1.7735146684572101E-14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150.88336605939878</v>
      </c>
      <c r="AO177" s="59">
        <f t="shared" si="144"/>
        <v>268.54782308462387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9.4835237451907339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6.0507026058495435E-18</v>
      </c>
      <c r="AX177" s="21">
        <f t="shared" si="166"/>
        <v>9.4835237451907339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1.9065282685915009E-13</v>
      </c>
      <c r="P178" s="13">
        <f t="shared" si="141"/>
        <v>2.6568987209435707E-12</v>
      </c>
      <c r="Q178" s="20">
        <f t="shared" si="162"/>
        <v>4.959485612423072E-12</v>
      </c>
      <c r="R178" s="59">
        <f t="shared" si="109"/>
        <v>293.33333333333826</v>
      </c>
      <c r="S178" s="59">
        <f ca="1">AVERAGE(OFFSET($R$3,0,0,'Données projet'!$E$9+1,1))-AVERAGE(OFFSET($H$3,0,0,'Données projet'!$E$9+1,1))</f>
        <v>320.29885421543776</v>
      </c>
      <c r="T178" s="59">
        <f t="shared" si="142"/>
        <v>546.34638548793396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15.567732987091384</v>
      </c>
      <c r="AA178" s="21">
        <f>EXP(-LN(2)/25)*AA177+(1-EXP(-LN(2)/25))/(LN(2)/25)*Calculateur!V178*Calculateur!X178*VLOOKUP('Données projet'!$B$9,Paramètres!$A$1:$I$89,3,0)*0.475*44/12</f>
        <v>1.8692710831530177</v>
      </c>
      <c r="AB178" s="21">
        <f>EXP(-LN(2)/2)*AB177+(1-EXP(-LN(2)/2))/(LN(2)/2)*V178*Y178*VLOOKUP('Données projet'!$B$9,Paramètres!$A$1:$I$89,3,0)*0.475*44/12</f>
        <v>1.1654222471868589E-18</v>
      </c>
      <c r="AC178" s="22">
        <f t="shared" si="163"/>
        <v>17.437004070244402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-2.8421709430404007E-14</v>
      </c>
      <c r="AJ178" s="13">
        <f>AI178*VLOOKUP('Données projet'!$B$10,Paramètres!$A$1:$I$89,3,0)*VLOOKUP('Données projet'!$B$10,Paramètres!$A$1:$I$89,5,0)</f>
        <v>-1.7735146684572101E-14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150.88336605939878</v>
      </c>
      <c r="AO178" s="59">
        <f t="shared" si="144"/>
        <v>268.54782308462387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9.297557628925869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4.278492843539326E-18</v>
      </c>
      <c r="AX178" s="21">
        <f t="shared" si="166"/>
        <v>9.297557628925869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1.9065282685915009E-13</v>
      </c>
      <c r="P179" s="13">
        <f t="shared" si="141"/>
        <v>2.6568987209435707E-12</v>
      </c>
      <c r="Q179" s="20">
        <f t="shared" si="162"/>
        <v>4.959485612423072E-12</v>
      </c>
      <c r="R179" s="59">
        <f t="shared" si="109"/>
        <v>293.33333333333826</v>
      </c>
      <c r="S179" s="59">
        <f ca="1">AVERAGE(OFFSET($R$3,0,0,'Données projet'!$E$9+1,1))-AVERAGE(OFFSET($H$3,0,0,'Données projet'!$E$9+1,1))</f>
        <v>320.29885421543776</v>
      </c>
      <c r="T179" s="59">
        <f t="shared" si="142"/>
        <v>546.34638548793396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15.262459238594053</v>
      </c>
      <c r="AA179" s="21">
        <f>EXP(-LN(2)/25)*AA178+(1-EXP(-LN(2)/25))/(LN(2)/25)*Calculateur!V179*Calculateur!X179*VLOOKUP('Données projet'!$B$9,Paramètres!$A$1:$I$89,3,0)*0.475*44/12</f>
        <v>1.8181557670835045</v>
      </c>
      <c r="AB179" s="21">
        <f>EXP(-LN(2)/2)*AB178+(1-EXP(-LN(2)/2))/(LN(2)/2)*V179*Y179*VLOOKUP('Données projet'!$B$9,Paramètres!$A$1:$I$89,3,0)*0.475*44/12</f>
        <v>8.2407797393149277E-19</v>
      </c>
      <c r="AC179" s="22">
        <f t="shared" si="163"/>
        <v>17.080615005677558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-2.8421709430404007E-14</v>
      </c>
      <c r="AJ179" s="13">
        <f>AI179*VLOOKUP('Données projet'!$B$10,Paramètres!$A$1:$I$89,3,0)*VLOOKUP('Données projet'!$B$10,Paramètres!$A$1:$I$89,5,0)</f>
        <v>-1.7735146684572101E-14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150.88336605939878</v>
      </c>
      <c r="AO179" s="59">
        <f t="shared" si="144"/>
        <v>268.54782308462387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9.1152381947728269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3.0253513029247717E-18</v>
      </c>
      <c r="AX179" s="21">
        <f t="shared" si="166"/>
        <v>9.1152381947728269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1.9065282685915009E-13</v>
      </c>
      <c r="P180" s="13">
        <f t="shared" si="141"/>
        <v>2.6568987209435707E-12</v>
      </c>
      <c r="Q180" s="20">
        <f t="shared" si="162"/>
        <v>4.959485612423072E-12</v>
      </c>
      <c r="R180" s="59">
        <f t="shared" si="109"/>
        <v>293.33333333333826</v>
      </c>
      <c r="S180" s="59">
        <f ca="1">AVERAGE(OFFSET($R$3,0,0,'Données projet'!$E$9+1,1))-AVERAGE(OFFSET($H$3,0,0,'Données projet'!$E$9+1,1))</f>
        <v>320.29885421543776</v>
      </c>
      <c r="T180" s="59">
        <f t="shared" si="142"/>
        <v>546.34638548793396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14.963171722106154</v>
      </c>
      <c r="AA180" s="21">
        <f>EXP(-LN(2)/25)*AA179+(1-EXP(-LN(2)/25))/(LN(2)/25)*Calculateur!V180*Calculateur!X180*VLOOKUP('Données projet'!$B$9,Paramètres!$A$1:$I$89,3,0)*0.475*44/12</f>
        <v>1.7684382020199496</v>
      </c>
      <c r="AB180" s="21">
        <f>EXP(-LN(2)/2)*AB179+(1-EXP(-LN(2)/2))/(LN(2)/2)*V180*Y180*VLOOKUP('Données projet'!$B$9,Paramètres!$A$1:$I$89,3,0)*0.475*44/12</f>
        <v>5.8271112359342947E-19</v>
      </c>
      <c r="AC180" s="22">
        <f t="shared" si="163"/>
        <v>16.731609924126104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-2.8421709430404007E-14</v>
      </c>
      <c r="AJ180" s="13">
        <f>AI180*VLOOKUP('Données projet'!$B$10,Paramètres!$A$1:$I$89,3,0)*VLOOKUP('Données projet'!$B$10,Paramètres!$A$1:$I$89,5,0)</f>
        <v>-1.7735146684572101E-14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150.88336605939878</v>
      </c>
      <c r="AO180" s="59">
        <f t="shared" si="144"/>
        <v>268.54782308462387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8.9364939335196514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2.139246421769663E-18</v>
      </c>
      <c r="AX180" s="21">
        <f t="shared" si="166"/>
        <v>8.9364939335196514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1.9065282685915009E-13</v>
      </c>
      <c r="P181" s="13">
        <f t="shared" si="141"/>
        <v>2.6568987209435707E-12</v>
      </c>
      <c r="Q181" s="20">
        <f t="shared" si="162"/>
        <v>4.959485612423072E-12</v>
      </c>
      <c r="R181" s="59">
        <f t="shared" si="109"/>
        <v>293.33333333333826</v>
      </c>
      <c r="S181" s="59">
        <f ca="1">AVERAGE(OFFSET($R$3,0,0,'Données projet'!$E$9+1,1))-AVERAGE(OFFSET($H$3,0,0,'Données projet'!$E$9+1,1))</f>
        <v>320.29885421543776</v>
      </c>
      <c r="T181" s="59">
        <f t="shared" si="142"/>
        <v>546.34638548793396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14.669753051269222</v>
      </c>
      <c r="AA181" s="21">
        <f>EXP(-LN(2)/25)*AA180+(1-EXP(-LN(2)/25))/(LN(2)/25)*Calculateur!V181*Calculateur!X181*VLOOKUP('Données projet'!$B$9,Paramètres!$A$1:$I$89,3,0)*0.475*44/12</f>
        <v>1.7200801663875909</v>
      </c>
      <c r="AB181" s="21">
        <f>EXP(-LN(2)/2)*AB180+(1-EXP(-LN(2)/2))/(LN(2)/2)*V181*Y181*VLOOKUP('Données projet'!$B$9,Paramètres!$A$1:$I$89,3,0)*0.475*44/12</f>
        <v>4.1203898696574639E-19</v>
      </c>
      <c r="AC181" s="22">
        <f t="shared" si="163"/>
        <v>16.389833217656811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-2.8421709430404007E-14</v>
      </c>
      <c r="AJ181" s="13">
        <f>AI181*VLOOKUP('Données projet'!$B$10,Paramètres!$A$1:$I$89,3,0)*VLOOKUP('Données projet'!$B$10,Paramètres!$A$1:$I$89,5,0)</f>
        <v>-1.7735146684572101E-14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150.88336605939878</v>
      </c>
      <c r="AO181" s="59">
        <f t="shared" si="144"/>
        <v>268.54782308462387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8.7612547382064161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1.5126756514623859E-18</v>
      </c>
      <c r="AX181" s="21">
        <f t="shared" si="166"/>
        <v>8.7612547382064161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1.9065282685915009E-13</v>
      </c>
      <c r="P182" s="13">
        <f t="shared" si="141"/>
        <v>2.6568987209435707E-12</v>
      </c>
      <c r="Q182" s="20">
        <f t="shared" si="162"/>
        <v>4.959485612423072E-12</v>
      </c>
      <c r="R182" s="59">
        <f t="shared" si="109"/>
        <v>293.33333333333826</v>
      </c>
      <c r="S182" s="59">
        <f ca="1">AVERAGE(OFFSET($R$3,0,0,'Données projet'!$E$9+1,1))-AVERAGE(OFFSET($H$3,0,0,'Données projet'!$E$9+1,1))</f>
        <v>320.29885421543776</v>
      </c>
      <c r="T182" s="59">
        <f t="shared" si="142"/>
        <v>546.34638548793396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14.382088141599684</v>
      </c>
      <c r="AA182" s="21">
        <f>EXP(-LN(2)/25)*AA181+(1-EXP(-LN(2)/25))/(LN(2)/25)*Calculateur!V182*Calculateur!X182*VLOOKUP('Données projet'!$B$9,Paramètres!$A$1:$I$89,3,0)*0.475*44/12</f>
        <v>1.6730444837826375</v>
      </c>
      <c r="AB182" s="21">
        <f>EXP(-LN(2)/2)*AB181+(1-EXP(-LN(2)/2))/(LN(2)/2)*V182*Y182*VLOOKUP('Données projet'!$B$9,Paramètres!$A$1:$I$89,3,0)*0.475*44/12</f>
        <v>2.9135556179671473E-19</v>
      </c>
      <c r="AC182" s="22">
        <f t="shared" si="163"/>
        <v>16.055132625382321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-2.8421709430404007E-14</v>
      </c>
      <c r="AJ182" s="13">
        <f>AI182*VLOOKUP('Données projet'!$B$10,Paramètres!$A$1:$I$89,3,0)*VLOOKUP('Données projet'!$B$10,Paramètres!$A$1:$I$89,5,0)</f>
        <v>-1.7735146684572101E-14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150.88336605939878</v>
      </c>
      <c r="AO182" s="59">
        <f t="shared" si="144"/>
        <v>268.54782308462387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8.5894518766279191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1.0696232108848315E-18</v>
      </c>
      <c r="AX182" s="21">
        <f t="shared" si="166"/>
        <v>8.5894518766279191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1.9065282685915009E-13</v>
      </c>
      <c r="P183" s="13">
        <f t="shared" si="141"/>
        <v>2.6568987209435707E-12</v>
      </c>
      <c r="Q183" s="20">
        <f t="shared" si="162"/>
        <v>4.959485612423072E-12</v>
      </c>
      <c r="R183" s="59">
        <f t="shared" si="109"/>
        <v>293.33333333333826</v>
      </c>
      <c r="S183" s="59">
        <f ca="1">AVERAGE(OFFSET($R$3,0,0,'Données projet'!$E$9+1,1))-AVERAGE(OFFSET($H$3,0,0,'Données projet'!$E$9+1,1))</f>
        <v>320.29885421543776</v>
      </c>
      <c r="T183" s="59">
        <f t="shared" si="142"/>
        <v>546.34638548793396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14.100064165350497</v>
      </c>
      <c r="AA183" s="21">
        <f>EXP(-LN(2)/25)*AA182+(1-EXP(-LN(2)/25))/(LN(2)/25)*Calculateur!V183*Calculateur!X183*VLOOKUP('Données projet'!$B$9,Paramètres!$A$1:$I$89,3,0)*0.475*44/12</f>
        <v>1.6272949943920156</v>
      </c>
      <c r="AB183" s="21">
        <f>EXP(-LN(2)/2)*AB182+(1-EXP(-LN(2)/2))/(LN(2)/2)*V183*Y183*VLOOKUP('Données projet'!$B$9,Paramètres!$A$1:$I$89,3,0)*0.475*44/12</f>
        <v>2.0601949348287319E-19</v>
      </c>
      <c r="AC183" s="22">
        <f t="shared" si="163"/>
        <v>15.727359159742512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-2.8421709430404007E-14</v>
      </c>
      <c r="AJ183" s="13">
        <f>AI183*VLOOKUP('Données projet'!$B$10,Paramètres!$A$1:$I$89,3,0)*VLOOKUP('Données projet'!$B$10,Paramètres!$A$1:$I$89,5,0)</f>
        <v>-1.7735146684572101E-14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150.88336605939878</v>
      </c>
      <c r="AO183" s="59">
        <f t="shared" si="144"/>
        <v>268.54782308462387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8.4210179643755776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7.5633782573119294E-19</v>
      </c>
      <c r="AX183" s="21">
        <f t="shared" si="166"/>
        <v>8.4210179643755776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1.9065282685915009E-13</v>
      </c>
      <c r="P184" s="13">
        <f t="shared" si="141"/>
        <v>2.6568987209435707E-12</v>
      </c>
      <c r="Q184" s="20">
        <f t="shared" si="162"/>
        <v>4.959485612423072E-12</v>
      </c>
      <c r="R184" s="59">
        <f t="shared" si="109"/>
        <v>293.33333333333826</v>
      </c>
      <c r="S184" s="59">
        <f ca="1">AVERAGE(OFFSET($R$3,0,0,'Données projet'!$E$9+1,1))-AVERAGE(OFFSET($H$3,0,0,'Données projet'!$E$9+1,1))</f>
        <v>320.29885421543776</v>
      </c>
      <c r="T184" s="59">
        <f t="shared" si="142"/>
        <v>546.34638548793396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13.823570507257918</v>
      </c>
      <c r="AA184" s="21">
        <f>EXP(-LN(2)/25)*AA183+(1-EXP(-LN(2)/25))/(LN(2)/25)*Calculateur!V184*Calculateur!X184*VLOOKUP('Données projet'!$B$9,Paramètres!$A$1:$I$89,3,0)*0.475*44/12</f>
        <v>1.5827965271946414</v>
      </c>
      <c r="AB184" s="21">
        <f>EXP(-LN(2)/2)*AB183+(1-EXP(-LN(2)/2))/(LN(2)/2)*V184*Y184*VLOOKUP('Données projet'!$B$9,Paramètres!$A$1:$I$89,3,0)*0.475*44/12</f>
        <v>1.4567778089835737E-19</v>
      </c>
      <c r="AC184" s="22">
        <f t="shared" si="163"/>
        <v>15.406367034452559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-2.8421709430404007E-14</v>
      </c>
      <c r="AJ184" s="13">
        <f>AI184*VLOOKUP('Données projet'!$B$10,Paramètres!$A$1:$I$89,3,0)*VLOOKUP('Données projet'!$B$10,Paramètres!$A$1:$I$89,5,0)</f>
        <v>-1.7735146684572101E-14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150.88336605939878</v>
      </c>
      <c r="AO184" s="59">
        <f t="shared" si="144"/>
        <v>268.54782308462387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8.2558869384079614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5.3481160544241575E-19</v>
      </c>
      <c r="AX184" s="21">
        <f t="shared" si="166"/>
        <v>8.2558869384079614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1.9065282685915009E-13</v>
      </c>
      <c r="P185" s="13">
        <f t="shared" si="141"/>
        <v>2.6568987209435707E-12</v>
      </c>
      <c r="Q185" s="20">
        <f t="shared" si="162"/>
        <v>4.959485612423072E-12</v>
      </c>
      <c r="R185" s="59">
        <f t="shared" si="109"/>
        <v>293.33333333333826</v>
      </c>
      <c r="S185" s="59">
        <f ca="1">AVERAGE(OFFSET($R$3,0,0,'Données projet'!$E$9+1,1))-AVERAGE(OFFSET($H$3,0,0,'Données projet'!$E$9+1,1))</f>
        <v>320.29885421543776</v>
      </c>
      <c r="T185" s="59">
        <f t="shared" si="142"/>
        <v>546.34638548793396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13.552498721156054</v>
      </c>
      <c r="AA185" s="21">
        <f>EXP(-LN(2)/25)*AA184+(1-EXP(-LN(2)/25))/(LN(2)/25)*Calculateur!V185*Calculateur!X185*VLOOKUP('Données projet'!$B$9,Paramètres!$A$1:$I$89,3,0)*0.475*44/12</f>
        <v>1.5395148729228521</v>
      </c>
      <c r="AB185" s="21">
        <f>EXP(-LN(2)/2)*AB184+(1-EXP(-LN(2)/2))/(LN(2)/2)*V185*Y185*VLOOKUP('Données projet'!$B$9,Paramètres!$A$1:$I$89,3,0)*0.475*44/12</f>
        <v>1.030097467414366E-19</v>
      </c>
      <c r="AC185" s="22">
        <f t="shared" si="163"/>
        <v>15.092013594078907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-2.8421709430404007E-14</v>
      </c>
      <c r="AJ185" s="13">
        <f>AI185*VLOOKUP('Données projet'!$B$10,Paramètres!$A$1:$I$89,3,0)*VLOOKUP('Données projet'!$B$10,Paramètres!$A$1:$I$89,5,0)</f>
        <v>-1.7735146684572101E-14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150.88336605939878</v>
      </c>
      <c r="AO185" s="59">
        <f t="shared" si="144"/>
        <v>268.54782308462387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8.0939940311395908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3.7816891286559647E-19</v>
      </c>
      <c r="AX185" s="21">
        <f t="shared" si="166"/>
        <v>8.0939940311395908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1.9065282685915009E-13</v>
      </c>
      <c r="P186" s="13">
        <f t="shared" si="141"/>
        <v>2.6568987209435707E-12</v>
      </c>
      <c r="Q186" s="20">
        <f t="shared" si="162"/>
        <v>4.959485612423072E-12</v>
      </c>
      <c r="R186" s="59">
        <f t="shared" si="109"/>
        <v>293.33333333333826</v>
      </c>
      <c r="S186" s="59">
        <f ca="1">AVERAGE(OFFSET($R$3,0,0,'Données projet'!$E$9+1,1))-AVERAGE(OFFSET($H$3,0,0,'Données projet'!$E$9+1,1))</f>
        <v>320.29885421543776</v>
      </c>
      <c r="T186" s="59">
        <f t="shared" si="142"/>
        <v>546.34638548793396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13.286742487442183</v>
      </c>
      <c r="AA186" s="21">
        <f>EXP(-LN(2)/25)*AA185+(1-EXP(-LN(2)/25))/(LN(2)/25)*Calculateur!V186*Calculateur!X186*VLOOKUP('Données projet'!$B$9,Paramètres!$A$1:$I$89,3,0)*0.475*44/12</f>
        <v>1.497416757763208</v>
      </c>
      <c r="AB186" s="21">
        <f>EXP(-LN(2)/2)*AB185+(1-EXP(-LN(2)/2))/(LN(2)/2)*V186*Y186*VLOOKUP('Données projet'!$B$9,Paramètres!$A$1:$I$89,3,0)*0.475*44/12</f>
        <v>7.2838890449178683E-20</v>
      </c>
      <c r="AC186" s="22">
        <f t="shared" si="163"/>
        <v>14.784159245205391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-2.8421709430404007E-14</v>
      </c>
      <c r="AJ186" s="13">
        <f>AI186*VLOOKUP('Données projet'!$B$10,Paramètres!$A$1:$I$89,3,0)*VLOOKUP('Données projet'!$B$10,Paramètres!$A$1:$I$89,5,0)</f>
        <v>-1.7735146684572101E-14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150.88336605939878</v>
      </c>
      <c r="AO186" s="59">
        <f t="shared" si="144"/>
        <v>268.54782308462387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7.9352757450378295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2.6740580272120787E-19</v>
      </c>
      <c r="AX186" s="21">
        <f t="shared" si="166"/>
        <v>7.9352757450378295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1.9065282685915009E-13</v>
      </c>
      <c r="P187" s="13">
        <f t="shared" si="141"/>
        <v>2.6568987209435707E-12</v>
      </c>
      <c r="Q187" s="20">
        <f t="shared" si="162"/>
        <v>4.959485612423072E-12</v>
      </c>
      <c r="R187" s="59">
        <f t="shared" si="109"/>
        <v>293.33333333333826</v>
      </c>
      <c r="S187" s="59">
        <f ca="1">AVERAGE(OFFSET($R$3,0,0,'Données projet'!$E$9+1,1))-AVERAGE(OFFSET($H$3,0,0,'Données projet'!$E$9+1,1))</f>
        <v>320.29885421543776</v>
      </c>
      <c r="T187" s="59">
        <f t="shared" si="142"/>
        <v>546.34638548793396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13.026197571376144</v>
      </c>
      <c r="AA187" s="21">
        <f>EXP(-LN(2)/25)*AA186+(1-EXP(-LN(2)/25))/(LN(2)/25)*Calculateur!V187*Calculateur!X187*VLOOKUP('Données projet'!$B$9,Paramètres!$A$1:$I$89,3,0)*0.475*44/12</f>
        <v>1.4564698177764481</v>
      </c>
      <c r="AB187" s="21">
        <f>EXP(-LN(2)/2)*AB186+(1-EXP(-LN(2)/2))/(LN(2)/2)*V187*Y187*VLOOKUP('Données projet'!$B$9,Paramètres!$A$1:$I$89,3,0)*0.475*44/12</f>
        <v>5.1504873370718298E-20</v>
      </c>
      <c r="AC187" s="22">
        <f t="shared" si="163"/>
        <v>14.482667389152592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-2.8421709430404007E-14</v>
      </c>
      <c r="AJ187" s="13">
        <f>AI187*VLOOKUP('Données projet'!$B$10,Paramètres!$A$1:$I$89,3,0)*VLOOKUP('Données projet'!$B$10,Paramètres!$A$1:$I$89,5,0)</f>
        <v>-1.7735146684572101E-14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150.88336605939878</v>
      </c>
      <c r="AO187" s="59">
        <f t="shared" si="144"/>
        <v>268.54782308462387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7.7796698277179281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1.8908445643279823E-19</v>
      </c>
      <c r="AX187" s="21">
        <f t="shared" si="166"/>
        <v>7.7796698277179281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1.9065282685915009E-13</v>
      </c>
      <c r="P188" s="13">
        <f t="shared" si="141"/>
        <v>2.6568987209435707E-12</v>
      </c>
      <c r="Q188" s="20">
        <f t="shared" si="162"/>
        <v>4.959485612423072E-12</v>
      </c>
      <c r="R188" s="59">
        <f t="shared" si="109"/>
        <v>293.33333333333826</v>
      </c>
      <c r="S188" s="59">
        <f ca="1">AVERAGE(OFFSET($R$3,0,0,'Données projet'!$E$9+1,1))-AVERAGE(OFFSET($H$3,0,0,'Données projet'!$E$9+1,1))</f>
        <v>320.29885421543776</v>
      </c>
      <c r="T188" s="59">
        <f t="shared" si="142"/>
        <v>546.34638548793396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12.770761782197454</v>
      </c>
      <c r="AA188" s="21">
        <f>EXP(-LN(2)/25)*AA187+(1-EXP(-LN(2)/25))/(LN(2)/25)*Calculateur!V188*Calculateur!X188*VLOOKUP('Données projet'!$B$9,Paramètres!$A$1:$I$89,3,0)*0.475*44/12</f>
        <v>1.4166425740169322</v>
      </c>
      <c r="AB188" s="21">
        <f>EXP(-LN(2)/2)*AB187+(1-EXP(-LN(2)/2))/(LN(2)/2)*V188*Y188*VLOOKUP('Données projet'!$B$9,Paramètres!$A$1:$I$89,3,0)*0.475*44/12</f>
        <v>3.6419445224589342E-20</v>
      </c>
      <c r="AC188" s="22">
        <f t="shared" si="163"/>
        <v>14.187404356214387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-2.8421709430404007E-14</v>
      </c>
      <c r="AJ188" s="13">
        <f>AI188*VLOOKUP('Données projet'!$B$10,Paramètres!$A$1:$I$89,3,0)*VLOOKUP('Données projet'!$B$10,Paramètres!$A$1:$I$89,5,0)</f>
        <v>-1.7735146684572101E-14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150.88336605939878</v>
      </c>
      <c r="AO188" s="59">
        <f t="shared" si="144"/>
        <v>268.54782308462387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7.6271152475264321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1.3370290136060394E-19</v>
      </c>
      <c r="AX188" s="21">
        <f t="shared" si="166"/>
        <v>7.6271152475264321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1.9065282685915009E-13</v>
      </c>
      <c r="P189" s="13">
        <f t="shared" si="141"/>
        <v>2.6568987209435707E-12</v>
      </c>
      <c r="Q189" s="20">
        <f t="shared" si="162"/>
        <v>4.959485612423072E-12</v>
      </c>
      <c r="R189" s="59">
        <f t="shared" si="109"/>
        <v>293.33333333333826</v>
      </c>
      <c r="S189" s="59">
        <f ca="1">AVERAGE(OFFSET($R$3,0,0,'Données projet'!$E$9+1,1))-AVERAGE(OFFSET($H$3,0,0,'Données projet'!$E$9+1,1))</f>
        <v>320.29885421543776</v>
      </c>
      <c r="T189" s="59">
        <f t="shared" si="142"/>
        <v>546.34638548793396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12.52033493304411</v>
      </c>
      <c r="AA189" s="21">
        <f>EXP(-LN(2)/25)*AA188+(1-EXP(-LN(2)/25))/(LN(2)/25)*Calculateur!V189*Calculateur!X189*VLOOKUP('Données projet'!$B$9,Paramètres!$A$1:$I$89,3,0)*0.475*44/12</f>
        <v>1.3779044083324439</v>
      </c>
      <c r="AB189" s="21">
        <f>EXP(-LN(2)/2)*AB188+(1-EXP(-LN(2)/2))/(LN(2)/2)*V189*Y189*VLOOKUP('Données projet'!$B$9,Paramètres!$A$1:$I$89,3,0)*0.475*44/12</f>
        <v>2.5752436685359149E-20</v>
      </c>
      <c r="AC189" s="22">
        <f t="shared" si="163"/>
        <v>13.898239341376554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-2.8421709430404007E-14</v>
      </c>
      <c r="AJ189" s="13">
        <f>AI189*VLOOKUP('Données projet'!$B$10,Paramètres!$A$1:$I$89,3,0)*VLOOKUP('Données projet'!$B$10,Paramètres!$A$1:$I$89,5,0)</f>
        <v>-1.7735146684572101E-14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150.88336605939878</v>
      </c>
      <c r="AO189" s="59">
        <f t="shared" si="144"/>
        <v>268.54782308462387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7.4775521696033849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9.4542228216399117E-20</v>
      </c>
      <c r="AX189" s="21">
        <f t="shared" si="166"/>
        <v>7.4775521696033849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1.9065282685915009E-13</v>
      </c>
      <c r="P190" s="13">
        <f t="shared" si="141"/>
        <v>2.6568987209435707E-12</v>
      </c>
      <c r="Q190" s="20">
        <f t="shared" si="162"/>
        <v>4.959485612423072E-12</v>
      </c>
      <c r="R190" s="59">
        <f t="shared" si="109"/>
        <v>293.33333333333826</v>
      </c>
      <c r="S190" s="59">
        <f ca="1">AVERAGE(OFFSET($R$3,0,0,'Données projet'!$E$9+1,1))-AVERAGE(OFFSET($H$3,0,0,'Données projet'!$E$9+1,1))</f>
        <v>320.29885421543776</v>
      </c>
      <c r="T190" s="59">
        <f t="shared" si="142"/>
        <v>546.34638548793396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12.274818801657368</v>
      </c>
      <c r="AA190" s="21">
        <f>EXP(-LN(2)/25)*AA189+(1-EXP(-LN(2)/25))/(LN(2)/25)*Calculateur!V190*Calculateur!X190*VLOOKUP('Données projet'!$B$9,Paramètres!$A$1:$I$89,3,0)*0.475*44/12</f>
        <v>1.3402255398257497</v>
      </c>
      <c r="AB190" s="21">
        <f>EXP(-LN(2)/2)*AB189+(1-EXP(-LN(2)/2))/(LN(2)/2)*V190*Y190*VLOOKUP('Données projet'!$B$9,Paramètres!$A$1:$I$89,3,0)*0.475*44/12</f>
        <v>1.8209722612294671E-20</v>
      </c>
      <c r="AC190" s="22">
        <f t="shared" si="163"/>
        <v>13.615044341483117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-2.8421709430404007E-14</v>
      </c>
      <c r="AJ190" s="13">
        <f>AI190*VLOOKUP('Données projet'!$B$10,Paramètres!$A$1:$I$89,3,0)*VLOOKUP('Données projet'!$B$10,Paramètres!$A$1:$I$89,5,0)</f>
        <v>-1.7735146684572101E-14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150.88336605939878</v>
      </c>
      <c r="AO190" s="59">
        <f t="shared" si="144"/>
        <v>268.54782308462387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7.330921932413939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6.6851450680301968E-20</v>
      </c>
      <c r="AX190" s="21">
        <f t="shared" si="166"/>
        <v>7.330921932413939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1.9065282685915009E-13</v>
      </c>
      <c r="P191" s="13">
        <f t="shared" si="141"/>
        <v>2.6568987209435707E-12</v>
      </c>
      <c r="Q191" s="20">
        <f t="shared" si="162"/>
        <v>4.959485612423072E-12</v>
      </c>
      <c r="R191" s="59">
        <f t="shared" si="109"/>
        <v>293.33333333333826</v>
      </c>
      <c r="S191" s="59">
        <f ca="1">AVERAGE(OFFSET($R$3,0,0,'Données projet'!$E$9+1,1))-AVERAGE(OFFSET($H$3,0,0,'Données projet'!$E$9+1,1))</f>
        <v>320.29885421543776</v>
      </c>
      <c r="T191" s="59">
        <f t="shared" si="142"/>
        <v>546.34638548793396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12.034117091857066</v>
      </c>
      <c r="AA191" s="21">
        <f>EXP(-LN(2)/25)*AA190+(1-EXP(-LN(2)/25))/(LN(2)/25)*Calculateur!V191*Calculateur!X191*VLOOKUP('Données projet'!$B$9,Paramètres!$A$1:$I$89,3,0)*0.475*44/12</f>
        <v>1.3035770019598165</v>
      </c>
      <c r="AB191" s="21">
        <f>EXP(-LN(2)/2)*AB190+(1-EXP(-LN(2)/2))/(LN(2)/2)*V191*Y191*VLOOKUP('Données projet'!$B$9,Paramètres!$A$1:$I$89,3,0)*0.475*44/12</f>
        <v>1.2876218342679575E-20</v>
      </c>
      <c r="AC191" s="22">
        <f t="shared" si="163"/>
        <v>13.337694093816882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-2.8421709430404007E-14</v>
      </c>
      <c r="AJ191" s="13">
        <f>AI191*VLOOKUP('Données projet'!$B$10,Paramètres!$A$1:$I$89,3,0)*VLOOKUP('Données projet'!$B$10,Paramètres!$A$1:$I$89,5,0)</f>
        <v>-1.7735146684572101E-14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150.88336605939878</v>
      </c>
      <c r="AO191" s="59">
        <f t="shared" si="144"/>
        <v>268.54782308462387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7.1871670247401642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4.7271114108199559E-20</v>
      </c>
      <c r="AX191" s="21">
        <f t="shared" si="166"/>
        <v>7.1871670247401642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1.9065282685915009E-13</v>
      </c>
      <c r="P192" s="13">
        <f t="shared" si="141"/>
        <v>2.6568987209435707E-12</v>
      </c>
      <c r="Q192" s="20">
        <f t="shared" si="162"/>
        <v>4.959485612423072E-12</v>
      </c>
      <c r="R192" s="59">
        <f t="shared" si="109"/>
        <v>293.33333333333826</v>
      </c>
      <c r="S192" s="59">
        <f ca="1">AVERAGE(OFFSET($R$3,0,0,'Données projet'!$E$9+1,1))-AVERAGE(OFFSET($H$3,0,0,'Données projet'!$E$9+1,1))</f>
        <v>320.29885421543776</v>
      </c>
      <c r="T192" s="59">
        <f t="shared" si="142"/>
        <v>546.34638548793396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11.798135395772402</v>
      </c>
      <c r="AA192" s="21">
        <f>EXP(-LN(2)/25)*AA191+(1-EXP(-LN(2)/25))/(LN(2)/25)*Calculateur!V192*Calculateur!X192*VLOOKUP('Données projet'!$B$9,Paramètres!$A$1:$I$89,3,0)*0.475*44/12</f>
        <v>1.2679306202890901</v>
      </c>
      <c r="AB192" s="21">
        <f>EXP(-LN(2)/2)*AB191+(1-EXP(-LN(2)/2))/(LN(2)/2)*V192*Y192*VLOOKUP('Données projet'!$B$9,Paramètres!$A$1:$I$89,3,0)*0.475*44/12</f>
        <v>9.1048613061473354E-21</v>
      </c>
      <c r="AC192" s="22">
        <f t="shared" si="163"/>
        <v>13.066066016061491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-2.8421709430404007E-14</v>
      </c>
      <c r="AJ192" s="13">
        <f>AI192*VLOOKUP('Données projet'!$B$10,Paramètres!$A$1:$I$89,3,0)*VLOOKUP('Données projet'!$B$10,Paramètres!$A$1:$I$89,5,0)</f>
        <v>-1.7735146684572101E-14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150.88336605939878</v>
      </c>
      <c r="AO192" s="59">
        <f t="shared" si="144"/>
        <v>268.54782308462387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7.0462310631240364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3.3425725340150984E-20</v>
      </c>
      <c r="AX192" s="21">
        <f t="shared" si="166"/>
        <v>7.0462310631240364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1.9065282685915009E-13</v>
      </c>
      <c r="P193" s="13">
        <f t="shared" si="141"/>
        <v>2.6568987209435707E-12</v>
      </c>
      <c r="Q193" s="20">
        <f t="shared" si="162"/>
        <v>4.959485612423072E-12</v>
      </c>
      <c r="R193" s="59">
        <f t="shared" si="109"/>
        <v>293.33333333333826</v>
      </c>
      <c r="S193" s="59">
        <f ca="1">AVERAGE(OFFSET($R$3,0,0,'Données projet'!$E$9+1,1))-AVERAGE(OFFSET($H$3,0,0,'Données projet'!$E$9+1,1))</f>
        <v>320.29885421543776</v>
      </c>
      <c r="T193" s="59">
        <f t="shared" si="142"/>
        <v>546.34638548793396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11.566781156813335</v>
      </c>
      <c r="AA193" s="21">
        <f>EXP(-LN(2)/25)*AA192+(1-EXP(-LN(2)/25))/(LN(2)/25)*Calculateur!V193*Calculateur!X193*VLOOKUP('Données projet'!$B$9,Paramètres!$A$1:$I$89,3,0)*0.475*44/12</f>
        <v>1.2332589907997116</v>
      </c>
      <c r="AB193" s="21">
        <f>EXP(-LN(2)/2)*AB192+(1-EXP(-LN(2)/2))/(LN(2)/2)*V193*Y193*VLOOKUP('Données projet'!$B$9,Paramètres!$A$1:$I$89,3,0)*0.475*44/12</f>
        <v>6.4381091713397873E-21</v>
      </c>
      <c r="AC193" s="22">
        <f t="shared" si="163"/>
        <v>12.800040147613046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-2.8421709430404007E-14</v>
      </c>
      <c r="AJ193" s="13">
        <f>AI193*VLOOKUP('Données projet'!$B$10,Paramètres!$A$1:$I$89,3,0)*VLOOKUP('Données projet'!$B$10,Paramètres!$A$1:$I$89,5,0)</f>
        <v>-1.7735146684572101E-14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150.88336605939878</v>
      </c>
      <c r="AO193" s="59">
        <f t="shared" si="144"/>
        <v>268.54782308462387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6.9080587697527527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2.3635557054099779E-20</v>
      </c>
      <c r="AX193" s="21">
        <f t="shared" si="166"/>
        <v>6.9080587697527527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1.9065282685915009E-13</v>
      </c>
      <c r="P194" s="13">
        <f t="shared" si="141"/>
        <v>2.6568987209435707E-12</v>
      </c>
      <c r="Q194" s="20">
        <f t="shared" si="162"/>
        <v>4.959485612423072E-12</v>
      </c>
      <c r="R194" s="59">
        <f t="shared" si="109"/>
        <v>293.33333333333826</v>
      </c>
      <c r="S194" s="59">
        <f ca="1">AVERAGE(OFFSET($R$3,0,0,'Données projet'!$E$9+1,1))-AVERAGE(OFFSET($H$3,0,0,'Données projet'!$E$9+1,1))</f>
        <v>320.29885421543776</v>
      </c>
      <c r="T194" s="59">
        <f t="shared" si="142"/>
        <v>546.34638548793396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11.339963633368104</v>
      </c>
      <c r="AA194" s="21">
        <f>EXP(-LN(2)/25)*AA193+(1-EXP(-LN(2)/25))/(LN(2)/25)*Calculateur!V194*Calculateur!X194*VLOOKUP('Données projet'!$B$9,Paramètres!$A$1:$I$89,3,0)*0.475*44/12</f>
        <v>1.1995354588420217</v>
      </c>
      <c r="AB194" s="21">
        <f>EXP(-LN(2)/2)*AB193+(1-EXP(-LN(2)/2))/(LN(2)/2)*V194*Y194*VLOOKUP('Données projet'!$B$9,Paramètres!$A$1:$I$89,3,0)*0.475*44/12</f>
        <v>4.5524306530736677E-21</v>
      </c>
      <c r="AC194" s="22">
        <f t="shared" si="163"/>
        <v>12.539499092210125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-2.8421709430404007E-14</v>
      </c>
      <c r="AJ194" s="13">
        <f>AI194*VLOOKUP('Données projet'!$B$10,Paramètres!$A$1:$I$89,3,0)*VLOOKUP('Données projet'!$B$10,Paramètres!$A$1:$I$89,5,0)</f>
        <v>-1.7735146684572101E-14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150.88336605939878</v>
      </c>
      <c r="AO194" s="59">
        <f t="shared" si="144"/>
        <v>268.54782308462387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6.7725959507777018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1.6712862670075492E-20</v>
      </c>
      <c r="AX194" s="21">
        <f t="shared" si="166"/>
        <v>6.7725959507777018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1.9065282685915009E-13</v>
      </c>
      <c r="P195" s="13">
        <f t="shared" si="141"/>
        <v>2.6568987209435707E-12</v>
      </c>
      <c r="Q195" s="20">
        <f t="shared" si="162"/>
        <v>4.959485612423072E-12</v>
      </c>
      <c r="R195" s="59">
        <f t="shared" ref="R195:R203" si="191">Q195+(I195+J195)*44/12</f>
        <v>293.33333333333826</v>
      </c>
      <c r="S195" s="59">
        <f ca="1">AVERAGE(OFFSET($R$3,0,0,'Données projet'!$E$9+1,1))-AVERAGE(OFFSET($H$3,0,0,'Données projet'!$E$9+1,1))</f>
        <v>320.29885421543776</v>
      </c>
      <c r="T195" s="59">
        <f t="shared" si="142"/>
        <v>546.34638548793396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11.117593863212605</v>
      </c>
      <c r="AA195" s="21">
        <f>EXP(-LN(2)/25)*AA194+(1-EXP(-LN(2)/25))/(LN(2)/25)*Calculateur!V195*Calculateur!X195*VLOOKUP('Données projet'!$B$9,Paramètres!$A$1:$I$89,3,0)*0.475*44/12</f>
        <v>1.1667340986391583</v>
      </c>
      <c r="AB195" s="21">
        <f>EXP(-LN(2)/2)*AB194+(1-EXP(-LN(2)/2))/(LN(2)/2)*V195*Y195*VLOOKUP('Données projet'!$B$9,Paramètres!$A$1:$I$89,3,0)*0.475*44/12</f>
        <v>3.2190545856698936E-21</v>
      </c>
      <c r="AC195" s="22">
        <f t="shared" si="163"/>
        <v>12.284327961851764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-2.8421709430404007E-14</v>
      </c>
      <c r="AJ195" s="13">
        <f>AI195*VLOOKUP('Données projet'!$B$10,Paramètres!$A$1:$I$89,3,0)*VLOOKUP('Données projet'!$B$10,Paramètres!$A$1:$I$89,5,0)</f>
        <v>-1.7735146684572101E-14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150.88336605939878</v>
      </c>
      <c r="AO195" s="59">
        <f t="shared" si="144"/>
        <v>268.54782308462387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6.6397894750585911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1.181777852704989E-20</v>
      </c>
      <c r="AX195" s="21">
        <f t="shared" si="166"/>
        <v>6.6397894750585911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1.9065282685915009E-13</v>
      </c>
      <c r="P196" s="13">
        <f t="shared" si="141"/>
        <v>2.6568987209435707E-12</v>
      </c>
      <c r="Q196" s="20">
        <f t="shared" si="162"/>
        <v>4.959485612423072E-12</v>
      </c>
      <c r="R196" s="59">
        <f t="shared" si="191"/>
        <v>293.33333333333826</v>
      </c>
      <c r="S196" s="59">
        <f ca="1">AVERAGE(OFFSET($R$3,0,0,'Données projet'!$E$9+1,1))-AVERAGE(OFFSET($H$3,0,0,'Données projet'!$E$9+1,1))</f>
        <v>320.29885421543776</v>
      </c>
      <c r="T196" s="59">
        <f t="shared" si="142"/>
        <v>546.34638548793396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10.899584628617689</v>
      </c>
      <c r="AA196" s="21">
        <f>EXP(-LN(2)/25)*AA195+(1-EXP(-LN(2)/25))/(LN(2)/25)*Calculateur!V196*Calculateur!X196*VLOOKUP('Données projet'!$B$9,Paramètres!$A$1:$I$89,3,0)*0.475*44/12</f>
        <v>1.1348296933559909</v>
      </c>
      <c r="AB196" s="21">
        <f>EXP(-LN(2)/2)*AB195+(1-EXP(-LN(2)/2))/(LN(2)/2)*V196*Y196*VLOOKUP('Données projet'!$B$9,Paramètres!$A$1:$I$89,3,0)*0.475*44/12</f>
        <v>2.2762153265368339E-21</v>
      </c>
      <c r="AC196" s="22">
        <f t="shared" si="163"/>
        <v>12.03441432197368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-2.8421709430404007E-14</v>
      </c>
      <c r="AJ196" s="13">
        <f>AI196*VLOOKUP('Données projet'!$B$10,Paramètres!$A$1:$I$89,3,0)*VLOOKUP('Données projet'!$B$10,Paramètres!$A$1:$I$89,5,0)</f>
        <v>-1.7735146684572101E-14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150.88336605939878</v>
      </c>
      <c r="AO196" s="59">
        <f t="shared" si="144"/>
        <v>268.54782308462387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6.5095872533243799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8.356431335037746E-21</v>
      </c>
      <c r="AX196" s="21">
        <f t="shared" si="166"/>
        <v>6.5095872533243799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1.9065282685915009E-13</v>
      </c>
      <c r="P197" s="13">
        <f t="shared" ref="P197:P203" si="203">EXP(-1.0587+0.8836*LN(O197)+0.284)</f>
        <v>2.6568987209435707E-12</v>
      </c>
      <c r="Q197" s="20">
        <f t="shared" si="162"/>
        <v>4.959485612423072E-12</v>
      </c>
      <c r="R197" s="59">
        <f t="shared" si="191"/>
        <v>293.33333333333826</v>
      </c>
      <c r="S197" s="59">
        <f ca="1">AVERAGE(OFFSET($R$3,0,0,'Données projet'!$E$9+1,1))-AVERAGE(OFFSET($H$3,0,0,'Données projet'!$E$9+1,1))</f>
        <v>320.29885421543776</v>
      </c>
      <c r="T197" s="59">
        <f t="shared" ref="T197:T203" si="204">$T$3</f>
        <v>546.34638548793396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10.685850422140675</v>
      </c>
      <c r="AA197" s="21">
        <f>EXP(-LN(2)/25)*AA196+(1-EXP(-LN(2)/25))/(LN(2)/25)*Calculateur!V197*Calculateur!X197*VLOOKUP('Données projet'!$B$9,Paramètres!$A$1:$I$89,3,0)*0.475*44/12</f>
        <v>1.1037977157130714</v>
      </c>
      <c r="AB197" s="21">
        <f>EXP(-LN(2)/2)*AB196+(1-EXP(-LN(2)/2))/(LN(2)/2)*V197*Y197*VLOOKUP('Données projet'!$B$9,Paramètres!$A$1:$I$89,3,0)*0.475*44/12</f>
        <v>1.6095272928349468E-21</v>
      </c>
      <c r="AC197" s="22">
        <f t="shared" si="163"/>
        <v>11.789648137853746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-2.8421709430404007E-14</v>
      </c>
      <c r="AJ197" s="13">
        <f>AI197*VLOOKUP('Données projet'!$B$10,Paramètres!$A$1:$I$89,3,0)*VLOOKUP('Données projet'!$B$10,Paramètres!$A$1:$I$89,5,0)</f>
        <v>-1.7735146684572101E-14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150.88336605939878</v>
      </c>
      <c r="AO197" s="59">
        <f t="shared" ref="AO197:AO203" si="205">$AO$3</f>
        <v>268.54782308462387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6.3819382177428636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5.9088892635249448E-21</v>
      </c>
      <c r="AX197" s="21">
        <f t="shared" si="166"/>
        <v>6.3819382177428636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1.9065282685915009E-13</v>
      </c>
      <c r="P198" s="13">
        <f t="shared" si="203"/>
        <v>2.6568987209435707E-12</v>
      </c>
      <c r="Q198" s="20">
        <f t="shared" si="162"/>
        <v>4.959485612423072E-12</v>
      </c>
      <c r="R198" s="59">
        <f t="shared" si="191"/>
        <v>293.33333333333826</v>
      </c>
      <c r="S198" s="59">
        <f ca="1">AVERAGE(OFFSET($R$3,0,0,'Données projet'!$E$9+1,1))-AVERAGE(OFFSET($H$3,0,0,'Données projet'!$E$9+1,1))</f>
        <v>320.29885421543776</v>
      </c>
      <c r="T198" s="59">
        <f t="shared" si="204"/>
        <v>546.34638548793396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10.476307413087682</v>
      </c>
      <c r="AA198" s="21">
        <f>EXP(-LN(2)/25)*AA197+(1-EXP(-LN(2)/25))/(LN(2)/25)*Calculateur!V198*Calculateur!X198*VLOOKUP('Données projet'!$B$9,Paramètres!$A$1:$I$89,3,0)*0.475*44/12</f>
        <v>1.0736143091306984</v>
      </c>
      <c r="AB198" s="21">
        <f>EXP(-LN(2)/2)*AB197+(1-EXP(-LN(2)/2))/(LN(2)/2)*V198*Y198*VLOOKUP('Données projet'!$B$9,Paramètres!$A$1:$I$89,3,0)*0.475*44/12</f>
        <v>1.1381076632684169E-21</v>
      </c>
      <c r="AC198" s="22">
        <f t="shared" si="163"/>
        <v>11.549921722218381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-2.8421709430404007E-14</v>
      </c>
      <c r="AJ198" s="13">
        <f>AI198*VLOOKUP('Données projet'!$B$10,Paramètres!$A$1:$I$89,3,0)*VLOOKUP('Données projet'!$B$10,Paramètres!$A$1:$I$89,5,0)</f>
        <v>-1.7735146684572101E-14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150.88336605939878</v>
      </c>
      <c r="AO198" s="59">
        <f t="shared" si="205"/>
        <v>268.54782308462387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6.2567923018908767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4.178215667518873E-21</v>
      </c>
      <c r="AX198" s="21">
        <f t="shared" si="166"/>
        <v>6.2567923018908767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1.9065282685915009E-13</v>
      </c>
      <c r="P199" s="13">
        <f t="shared" si="203"/>
        <v>2.6568987209435707E-12</v>
      </c>
      <c r="Q199" s="20">
        <f t="shared" si="162"/>
        <v>4.959485612423072E-12</v>
      </c>
      <c r="R199" s="59">
        <f t="shared" si="191"/>
        <v>293.33333333333826</v>
      </c>
      <c r="S199" s="59">
        <f ca="1">AVERAGE(OFFSET($R$3,0,0,'Données projet'!$E$9+1,1))-AVERAGE(OFFSET($H$3,0,0,'Données projet'!$E$9+1,1))</f>
        <v>320.29885421543776</v>
      </c>
      <c r="T199" s="59">
        <f t="shared" si="204"/>
        <v>546.34638548793396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10.270873414633602</v>
      </c>
      <c r="AA199" s="21">
        <f>EXP(-LN(2)/25)*AA198+(1-EXP(-LN(2)/25))/(LN(2)/25)*Calculateur!V199*Calculateur!X199*VLOOKUP('Données projet'!$B$9,Paramètres!$A$1:$I$89,3,0)*0.475*44/12</f>
        <v>1.0442562693885968</v>
      </c>
      <c r="AB199" s="21">
        <f>EXP(-LN(2)/2)*AB198+(1-EXP(-LN(2)/2))/(LN(2)/2)*V199*Y199*VLOOKUP('Données projet'!$B$9,Paramètres!$A$1:$I$89,3,0)*0.475*44/12</f>
        <v>8.0476364641747341E-22</v>
      </c>
      <c r="AC199" s="22">
        <f t="shared" si="163"/>
        <v>11.3151296840222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-2.8421709430404007E-14</v>
      </c>
      <c r="AJ199" s="13">
        <f>AI199*VLOOKUP('Données projet'!$B$10,Paramètres!$A$1:$I$89,3,0)*VLOOKUP('Données projet'!$B$10,Paramètres!$A$1:$I$89,5,0)</f>
        <v>-1.7735146684572101E-14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150.88336605939878</v>
      </c>
      <c r="AO199" s="59">
        <f t="shared" si="205"/>
        <v>268.54782308462387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6.1341004211172754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2.9544446317624724E-21</v>
      </c>
      <c r="AX199" s="21">
        <f t="shared" si="166"/>
        <v>6.1341004211172754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1.9065282685915009E-13</v>
      </c>
      <c r="P200" s="13">
        <f t="shared" si="203"/>
        <v>2.6568987209435707E-12</v>
      </c>
      <c r="Q200" s="20">
        <f t="shared" si="162"/>
        <v>4.959485612423072E-12</v>
      </c>
      <c r="R200" s="59">
        <f t="shared" si="191"/>
        <v>293.33333333333826</v>
      </c>
      <c r="S200" s="59">
        <f ca="1">AVERAGE(OFFSET($R$3,0,0,'Données projet'!$E$9+1,1))-AVERAGE(OFFSET($H$3,0,0,'Données projet'!$E$9+1,1))</f>
        <v>320.29885421543776</v>
      </c>
      <c r="T200" s="59">
        <f t="shared" si="204"/>
        <v>546.34638548793396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10.069467851586841</v>
      </c>
      <c r="AA200" s="21">
        <f>EXP(-LN(2)/25)*AA199+(1-EXP(-LN(2)/25))/(LN(2)/25)*Calculateur!V200*Calculateur!X200*VLOOKUP('Données projet'!$B$9,Paramètres!$A$1:$I$89,3,0)*0.475*44/12</f>
        <v>1.0157010267871152</v>
      </c>
      <c r="AB200" s="21">
        <f>EXP(-LN(2)/2)*AB199+(1-EXP(-LN(2)/2))/(LN(2)/2)*V200*Y200*VLOOKUP('Données projet'!$B$9,Paramètres!$A$1:$I$89,3,0)*0.475*44/12</f>
        <v>5.6905383163420846E-22</v>
      </c>
      <c r="AC200" s="22">
        <f t="shared" si="163"/>
        <v>11.085168878373956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-2.8421709430404007E-14</v>
      </c>
      <c r="AJ200" s="13">
        <f>AI200*VLOOKUP('Données projet'!$B$10,Paramètres!$A$1:$I$89,3,0)*VLOOKUP('Données projet'!$B$10,Paramètres!$A$1:$I$89,5,0)</f>
        <v>-1.7735146684572101E-14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150.88336605939878</v>
      </c>
      <c r="AO200" s="59">
        <f t="shared" si="205"/>
        <v>268.54782308462387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6.013814453290987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2.0891078337594365E-21</v>
      </c>
      <c r="AX200" s="21">
        <f t="shared" si="166"/>
        <v>6.013814453290987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1.9065282685915009E-13</v>
      </c>
      <c r="P201" s="13">
        <f t="shared" si="203"/>
        <v>2.6568987209435707E-12</v>
      </c>
      <c r="Q201" s="20">
        <f t="shared" si="162"/>
        <v>4.959485612423072E-12</v>
      </c>
      <c r="R201" s="59">
        <f t="shared" si="191"/>
        <v>293.33333333333826</v>
      </c>
      <c r="S201" s="59">
        <f ca="1">AVERAGE(OFFSET($R$3,0,0,'Données projet'!$E$9+1,1))-AVERAGE(OFFSET($H$3,0,0,'Données projet'!$E$9+1,1))</f>
        <v>320.29885421543776</v>
      </c>
      <c r="T201" s="59">
        <f t="shared" si="204"/>
        <v>546.34638548793396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9.8720117287861644</v>
      </c>
      <c r="AA201" s="21">
        <f>EXP(-LN(2)/25)*AA200+(1-EXP(-LN(2)/25))/(LN(2)/25)*Calculateur!V201*Calculateur!X201*VLOOKUP('Données projet'!$B$9,Paramètres!$A$1:$I$89,3,0)*0.475*44/12</f>
        <v>0.98792662879622595</v>
      </c>
      <c r="AB201" s="21">
        <f>EXP(-LN(2)/2)*AB200+(1-EXP(-LN(2)/2))/(LN(2)/2)*V201*Y201*VLOOKUP('Données projet'!$B$9,Paramètres!$A$1:$I$89,3,0)*0.475*44/12</f>
        <v>4.0238182320873671E-22</v>
      </c>
      <c r="AC201" s="22">
        <f t="shared" si="163"/>
        <v>10.85993835758239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-2.8421709430404007E-14</v>
      </c>
      <c r="AJ201" s="13">
        <f>AI201*VLOOKUP('Données projet'!$B$10,Paramètres!$A$1:$I$89,3,0)*VLOOKUP('Données projet'!$B$10,Paramètres!$A$1:$I$89,5,0)</f>
        <v>-1.7735146684572101E-14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150.88336605939878</v>
      </c>
      <c r="AO201" s="59">
        <f t="shared" si="205"/>
        <v>268.54782308462387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5.8958872199265757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1.4772223158812362E-21</v>
      </c>
      <c r="AX201" s="21">
        <f t="shared" si="166"/>
        <v>5.8958872199265757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1.9065282685915009E-13</v>
      </c>
      <c r="P202" s="13">
        <f t="shared" si="203"/>
        <v>2.6568987209435707E-12</v>
      </c>
      <c r="Q202" s="20">
        <f t="shared" si="162"/>
        <v>4.959485612423072E-12</v>
      </c>
      <c r="R202" s="59">
        <f t="shared" si="191"/>
        <v>293.33333333333826</v>
      </c>
      <c r="S202" s="59">
        <f ca="1">AVERAGE(OFFSET($R$3,0,0,'Données projet'!$E$9+1,1))-AVERAGE(OFFSET($H$3,0,0,'Données projet'!$E$9+1,1))</f>
        <v>320.29885421543776</v>
      </c>
      <c r="T202" s="59">
        <f t="shared" si="204"/>
        <v>546.34638548793396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9.6784276001172653</v>
      </c>
      <c r="AA202" s="21">
        <f>EXP(-LN(2)/25)*AA201+(1-EXP(-LN(2)/25))/(LN(2)/25)*Calculateur!V202*Calculateur!X202*VLOOKUP('Données projet'!$B$9,Paramètres!$A$1:$I$89,3,0)*0.475*44/12</f>
        <v>0.96091172317898965</v>
      </c>
      <c r="AB202" s="21">
        <f>EXP(-LN(2)/2)*AB201+(1-EXP(-LN(2)/2))/(LN(2)/2)*V202*Y202*VLOOKUP('Données projet'!$B$9,Paramètres!$A$1:$I$89,3,0)*0.475*44/12</f>
        <v>2.8452691581710423E-22</v>
      </c>
      <c r="AC202" s="22">
        <f t="shared" si="163"/>
        <v>10.639339323296255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-2.8421709430404007E-14</v>
      </c>
      <c r="AJ202" s="13">
        <f>AI202*VLOOKUP('Données projet'!$B$10,Paramètres!$A$1:$I$89,3,0)*VLOOKUP('Données projet'!$B$10,Paramètres!$A$1:$I$89,5,0)</f>
        <v>-1.7735146684572101E-14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150.88336605939878</v>
      </c>
      <c r="AO202" s="59">
        <f t="shared" si="205"/>
        <v>268.54782308462387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5.7802724676799304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1.0445539168797183E-21</v>
      </c>
      <c r="AX202" s="21">
        <f t="shared" si="166"/>
        <v>5.7802724676799304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1.9065282685915009E-13</v>
      </c>
      <c r="P203" s="13">
        <f t="shared" si="203"/>
        <v>2.6568987209435707E-12</v>
      </c>
      <c r="Q203" s="20">
        <f t="shared" si="162"/>
        <v>4.959485612423072E-12</v>
      </c>
      <c r="R203" s="59">
        <f t="shared" si="191"/>
        <v>293.33333333333826</v>
      </c>
      <c r="S203" s="59">
        <f ca="1">AVERAGE(OFFSET($R$3,0,0,'Données projet'!$E$9+1,1))-AVERAGE(OFFSET($H$3,0,0,'Données projet'!$E$9+1,1))</f>
        <v>320.29885421543776</v>
      </c>
      <c r="T203" s="59">
        <f t="shared" si="204"/>
        <v>546.34638548793396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9.4886395381369031</v>
      </c>
      <c r="AA203" s="21">
        <f>EXP(-LN(2)/25)*AA202+(1-EXP(-LN(2)/25))/(LN(2)/25)*Calculateur!V203*Calculateur!X203*VLOOKUP('Données projet'!$B$9,Paramètres!$A$1:$I$89,3,0)*0.475*44/12</f>
        <v>0.93463554157650885</v>
      </c>
      <c r="AB203" s="21">
        <f>EXP(-LN(2)/2)*AB202+(1-EXP(-LN(2)/2))/(LN(2)/2)*V203*Y203*VLOOKUP('Données projet'!$B$9,Paramètres!$A$1:$I$89,3,0)*0.475*44/12</f>
        <v>2.0119091160436835E-22</v>
      </c>
      <c r="AC203" s="22">
        <f t="shared" si="163"/>
        <v>10.423275079713411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-2.8421709430404007E-14</v>
      </c>
      <c r="AJ203" s="13">
        <f>AI203*VLOOKUP('Données projet'!$B$10,Paramètres!$A$1:$I$89,3,0)*VLOOKUP('Données projet'!$B$10,Paramètres!$A$1:$I$89,5,0)</f>
        <v>-1.7735146684572101E-14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150.88336605939878</v>
      </c>
      <c r="AO203" s="59">
        <f t="shared" si="205"/>
        <v>268.54782308462387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5.6669248502068061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7.386111579406181E-22</v>
      </c>
      <c r="AX203" s="21">
        <f t="shared" si="166"/>
        <v>5.6669248502068061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1.3804627841663464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1.2997069632623315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1" zoomScale="161" zoomScaleNormal="90" workbookViewId="0">
      <selection activeCell="L7" sqref="L7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3.5739000000000001</v>
      </c>
      <c r="C6" s="147">
        <f ca="1">IF(OR('Données projet'!B9="",'Données projet'!C9="",'Données projet'!C9=0%),0,Calculateur!S3)</f>
        <v>320.29885421543776</v>
      </c>
      <c r="D6" s="147">
        <f>IF(OR('Données projet'!B9="",'Données projet'!C9="",'Données projet'!C9=0%),0,Calculateur!T3)</f>
        <v>546.34638548793396</v>
      </c>
      <c r="E6" s="147">
        <f ca="1">MIN(C6,D6)</f>
        <v>320.29885421543776</v>
      </c>
      <c r="F6" s="147">
        <f ca="1">E6*B6</f>
        <v>1144.7160750805531</v>
      </c>
      <c r="G6" s="147">
        <f ca="1">F6*(100%-'Données projet'!$C$24)*(100%-'Données projet'!$C$25)*(100%-'Données projet'!$C$26)*(100%-'Données projet'!$C$27)</f>
        <v>1030.2444675724978</v>
      </c>
      <c r="H6" s="148">
        <f>IF(OR('Données projet'!B9="",'Données projet'!C9="",'Données projet'!C9=0%),0,AVERAGE(Calculateur!$AC$3:$AC$33)*B6)</f>
        <v>7.9201938910252778</v>
      </c>
      <c r="I6" s="149">
        <f>H6*(100%-'Données projet'!$C$24)*(100%-'Données projet'!$C$25)*(100%-'Données projet'!$C$26)*(100%-'Données projet'!$C$27)</f>
        <v>7.12817450192275</v>
      </c>
      <c r="J6" s="150">
        <f>IF(OR('Données projet'!B9="",'Données projet'!C9="",'Données projet'!C9=0%),0,SUM(Calculateur!$V$3:$V$33)*VLOOKUP('Données projet'!$B$9,Paramètres!$A$1:$I$89,9,0)*B6)</f>
        <v>106.03761299999999</v>
      </c>
      <c r="K6" s="151">
        <f>J6*(100%-'Données projet'!$C$24)*(100%-'Données projet'!$C$25)*(100%-'Données projet'!$C$26)*(100%-'Données projet'!$C$27)</f>
        <v>95.433851699999991</v>
      </c>
      <c r="L6" s="152">
        <f ca="1">G6+I6+K6</f>
        <v>1132.8064937744207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Mélèze d'Europe</v>
      </c>
      <c r="B7" s="154">
        <f>'Données projet'!D10</f>
        <v>0.39710000000000001</v>
      </c>
      <c r="C7" s="147">
        <f ca="1">IF(OR('Données projet'!B10="",'Données projet'!C10="",'Données projet'!C10=0%),0,Calculateur!AN3)</f>
        <v>150.88336605939878</v>
      </c>
      <c r="D7" s="147">
        <f>IF(OR('Données projet'!B10="",'Données projet'!C10="",'Données projet'!C10=0%),0,Calculateur!AO3)</f>
        <v>268.54782308462387</v>
      </c>
      <c r="E7" s="147">
        <f t="shared" ref="E7:E15" ca="1" si="0">MIN(C7,D7)</f>
        <v>150.88336605939878</v>
      </c>
      <c r="F7" s="147">
        <f t="shared" ref="F7:F15" ca="1" si="1">E7*B7</f>
        <v>59.915784662187257</v>
      </c>
      <c r="G7" s="147">
        <f ca="1">F7*(100%-'Données projet'!$C$24)*(100%-'Données projet'!$C$25)*(100%-'Données projet'!$C$26)*(100%-'Données projet'!$C$27)</f>
        <v>53.92420619596853</v>
      </c>
      <c r="H7" s="155">
        <f>IF(OR('Données projet'!B10="",'Données projet'!C10="",'Données projet'!C10=0%),0,AVERAGE(Calculateur!$AX$3:$AX$33)*B7)</f>
        <v>2.6717267824534954</v>
      </c>
      <c r="I7" s="149">
        <f>H7*(100%-'Données projet'!$C$24)*(100%-'Données projet'!$C$25)*(100%-'Données projet'!$C$26)*(100%-'Données projet'!$C$27)</f>
        <v>2.4045541042081457</v>
      </c>
      <c r="J7" s="150">
        <f>IF(OR('Données projet'!B10="",'Données projet'!C10="",'Données projet'!C10=0%),0,SUM(Calculateur!$AQ$3:$AQ$33)*VLOOKUP('Données projet'!$B$10,Paramètres!$A$1:$I$89,9,0)*B7)</f>
        <v>21.856383999999998</v>
      </c>
      <c r="K7" s="151">
        <f>J7*(100%-'Données projet'!$C$24)*(100%-'Données projet'!$C$25)*(100%-'Données projet'!$C$26)*(100%-'Données projet'!$C$27)</f>
        <v>19.6707456</v>
      </c>
      <c r="L7" s="152">
        <f t="shared" ref="L7:L15" ca="1" si="2">G7+I7+K7</f>
        <v>75.999505900176672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1204.6318597427403</v>
      </c>
      <c r="G16" s="166">
        <f t="shared" ca="1" si="3"/>
        <v>1084.1686737684663</v>
      </c>
      <c r="H16" s="167">
        <f t="shared" si="3"/>
        <v>10.591920673478773</v>
      </c>
      <c r="I16" s="167">
        <f t="shared" si="3"/>
        <v>9.5327286061308953</v>
      </c>
      <c r="J16" s="168">
        <f t="shared" si="3"/>
        <v>127.89399699999998</v>
      </c>
      <c r="K16" s="168">
        <f t="shared" si="3"/>
        <v>115.10459729999999</v>
      </c>
      <c r="L16" s="169">
        <f t="shared" ca="1" si="3"/>
        <v>1208.8059996745974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4" zoomScale="112" zoomScaleNormal="80" workbookViewId="0">
      <selection activeCell="E17" activeCellId="1" sqref="I20:I35 E17:E2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1313.6485103320042</v>
      </c>
      <c r="U10" s="178">
        <f>'Données projet'!D9</f>
        <v>3.5739000000000001</v>
      </c>
      <c r="V10" s="177">
        <f>U10*T10</f>
        <v>4694.8484110755498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-1133.9959234498456</v>
      </c>
      <c r="U11" s="178">
        <f>'Données projet'!D10</f>
        <v>0.39710000000000001</v>
      </c>
      <c r="V11" s="177">
        <f t="shared" ref="V11" si="0">U11*T11</f>
        <v>-450.30978120193367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3"/>
      <c r="D17" s="197" t="s">
        <v>132</v>
      </c>
      <c r="E17" s="193">
        <v>2000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3"/>
      <c r="D18" s="197" t="s">
        <v>132</v>
      </c>
      <c r="E18" s="193">
        <v>600</v>
      </c>
      <c r="F18" s="230"/>
      <c r="G18" s="303"/>
      <c r="J18" s="202"/>
      <c r="K18" s="208"/>
      <c r="L18" s="260" t="s">
        <v>255</v>
      </c>
      <c r="M18" s="262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3"/>
      <c r="D19" s="197" t="s">
        <v>132</v>
      </c>
      <c r="E19" s="193">
        <v>600</v>
      </c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499.99999999999966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3"/>
      <c r="D20" s="197" t="s">
        <v>132</v>
      </c>
      <c r="E20" s="193"/>
      <c r="F20" s="230"/>
      <c r="G20" s="303"/>
      <c r="H20" s="190">
        <v>0</v>
      </c>
      <c r="I20" s="191">
        <v>1500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3"/>
      <c r="D21" s="197" t="s">
        <v>132</v>
      </c>
      <c r="E21" s="193"/>
      <c r="F21" s="230"/>
      <c r="H21" s="190">
        <v>1</v>
      </c>
      <c r="I21" s="191">
        <v>1200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3"/>
      <c r="D22" s="197" t="s">
        <v>132</v>
      </c>
      <c r="E22" s="193">
        <v>600</v>
      </c>
      <c r="F22" s="230"/>
      <c r="H22" s="190">
        <v>2</v>
      </c>
      <c r="I22" s="191">
        <v>1200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15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-22946.978992378234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>
        <v>4</v>
      </c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219.81401000680219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25</v>
      </c>
      <c r="B25" s="181">
        <f>'Données projet'!D38</f>
        <v>21</v>
      </c>
      <c r="C25" s="193">
        <v>12</v>
      </c>
      <c r="D25" s="182">
        <f t="shared" si="2"/>
        <v>252</v>
      </c>
      <c r="E25" s="193"/>
      <c r="F25" s="233"/>
      <c r="H25" s="190">
        <v>5</v>
      </c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-23166.793002385035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30</v>
      </c>
      <c r="B26" s="181">
        <f>'Données projet'!D39</f>
        <v>48</v>
      </c>
      <c r="C26" s="193">
        <v>15</v>
      </c>
      <c r="D26" s="182">
        <f t="shared" si="2"/>
        <v>720</v>
      </c>
      <c r="E26" s="193"/>
      <c r="F26" s="233"/>
      <c r="G26" s="229"/>
      <c r="H26" s="190">
        <v>6</v>
      </c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35</v>
      </c>
      <c r="B27" s="181">
        <f>'Données projet'!D40</f>
        <v>61</v>
      </c>
      <c r="C27" s="193">
        <v>25</v>
      </c>
      <c r="D27" s="182">
        <f t="shared" si="2"/>
        <v>1525</v>
      </c>
      <c r="E27" s="193"/>
      <c r="F27" s="233"/>
      <c r="G27" s="229"/>
      <c r="H27" s="190">
        <v>7</v>
      </c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40</v>
      </c>
      <c r="B28" s="181">
        <f>'Données projet'!D41</f>
        <v>64</v>
      </c>
      <c r="C28" s="193">
        <v>30</v>
      </c>
      <c r="D28" s="182">
        <f t="shared" si="2"/>
        <v>1920</v>
      </c>
      <c r="E28" s="193"/>
      <c r="F28" s="233"/>
      <c r="G28" s="205"/>
      <c r="H28" s="190">
        <v>8</v>
      </c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45</v>
      </c>
      <c r="B29" s="181">
        <f>'Données projet'!D42</f>
        <v>642</v>
      </c>
      <c r="C29" s="193">
        <v>45</v>
      </c>
      <c r="D29" s="182">
        <f t="shared" si="2"/>
        <v>28890</v>
      </c>
      <c r="E29" s="193"/>
      <c r="F29" s="233"/>
      <c r="G29" s="203"/>
      <c r="H29" s="190">
        <v>9</v>
      </c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6000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>
        <v>23</v>
      </c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>
        <v>24</v>
      </c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>
        <v>25</v>
      </c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>
        <v>26</v>
      </c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2000</v>
      </c>
      <c r="F48" s="231"/>
      <c r="G48" s="203"/>
      <c r="H48" s="190">
        <v>28</v>
      </c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>
        <v>600</v>
      </c>
      <c r="F49" s="231"/>
      <c r="G49" s="204"/>
      <c r="H49" s="190">
        <v>29</v>
      </c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>
        <v>600</v>
      </c>
      <c r="F50" s="231"/>
      <c r="G50" s="23"/>
      <c r="H50" s="190">
        <v>30</v>
      </c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>
        <v>600</v>
      </c>
      <c r="F53" s="231"/>
      <c r="G53" s="205"/>
      <c r="H53" s="190">
        <v>33</v>
      </c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18</v>
      </c>
      <c r="B54" s="181">
        <f>'Données projet'!D62</f>
        <v>20</v>
      </c>
      <c r="C54" s="191">
        <v>12</v>
      </c>
      <c r="D54" s="179">
        <f>B54*C54</f>
        <v>240</v>
      </c>
      <c r="E54" s="193"/>
      <c r="F54" s="232"/>
      <c r="G54" s="205"/>
      <c r="H54" s="190">
        <v>34</v>
      </c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21</v>
      </c>
      <c r="B55" s="181">
        <f>'Données projet'!D63</f>
        <v>26</v>
      </c>
      <c r="C55" s="191">
        <v>12</v>
      </c>
      <c r="D55" s="179">
        <f t="shared" ref="D55:D73" si="4">B55*C55</f>
        <v>312</v>
      </c>
      <c r="E55" s="193"/>
      <c r="F55" s="232"/>
      <c r="G55" s="205"/>
      <c r="H55" s="190">
        <v>35</v>
      </c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24</v>
      </c>
      <c r="B56" s="181">
        <f>'Données projet'!D64</f>
        <v>29</v>
      </c>
      <c r="C56" s="191">
        <v>12</v>
      </c>
      <c r="D56" s="179">
        <f t="shared" si="4"/>
        <v>348</v>
      </c>
      <c r="E56" s="193"/>
      <c r="F56" s="232"/>
      <c r="G56" s="205"/>
      <c r="H56" s="190">
        <v>36</v>
      </c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30</v>
      </c>
      <c r="B57" s="181">
        <f>'Données projet'!D65</f>
        <v>53</v>
      </c>
      <c r="C57" s="191">
        <v>20</v>
      </c>
      <c r="D57" s="179">
        <f t="shared" si="4"/>
        <v>1060</v>
      </c>
      <c r="E57" s="193"/>
      <c r="F57" s="232"/>
      <c r="G57" s="205"/>
      <c r="H57" s="190">
        <v>37</v>
      </c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36</v>
      </c>
      <c r="B58" s="181">
        <f>'Données projet'!D66</f>
        <v>62</v>
      </c>
      <c r="C58" s="191">
        <v>25</v>
      </c>
      <c r="D58" s="179">
        <f t="shared" si="4"/>
        <v>1550</v>
      </c>
      <c r="E58" s="193"/>
      <c r="F58" s="232"/>
      <c r="G58" s="205"/>
      <c r="H58" s="190">
        <v>38</v>
      </c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42</v>
      </c>
      <c r="B59" s="181">
        <f>'Données projet'!D67</f>
        <v>67</v>
      </c>
      <c r="C59" s="191">
        <v>40</v>
      </c>
      <c r="D59" s="179">
        <f t="shared" si="4"/>
        <v>2680</v>
      </c>
      <c r="E59" s="193"/>
      <c r="F59" s="232"/>
      <c r="G59" s="205"/>
      <c r="H59" s="190">
        <v>39</v>
      </c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48</v>
      </c>
      <c r="B60" s="181">
        <f>'Données projet'!D68</f>
        <v>252</v>
      </c>
      <c r="C60" s="191">
        <v>40</v>
      </c>
      <c r="D60" s="179">
        <f t="shared" si="4"/>
        <v>10080</v>
      </c>
      <c r="E60" s="193"/>
      <c r="F60" s="232"/>
      <c r="G60" s="206"/>
      <c r="H60" s="190">
        <v>40</v>
      </c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41</v>
      </c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2024-01-08T11:52:04Z</dcterms:modified>
</cp:coreProperties>
</file>