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LAPEYRE MENSIGNAC - LA TESTE (33)\Dossier final\"/>
    </mc:Choice>
  </mc:AlternateContent>
  <xr:revisionPtr revIDLastSave="0" documentId="13_ncr:1_{1A383C0B-1C60-412B-924A-633D47FC6A43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<sst xmlns="http://schemas.openxmlformats.org/spreadsheetml/2006/main" count="1170" uniqueCount="324">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</sst>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1.9269628804625836</c:v>
                </c:pt>
                <c:pt idx="2">
                  <c:v>2.3942745364663698</c:v>
                </c:pt>
                <c:pt idx="3">
                  <c:v>2.9753588455728068</c:v>
                </c:pt>
                <c:pt idx="4">
                  <c:v>3.698017265780404</c:v>
                </c:pt>
                <c:pt idx="5">
                  <c:v>4.5968682174497255</c:v>
                </c:pt>
                <c:pt idx="6">
                  <c:v>5.7150239571249024</c:v>
                </c:pt>
                <c:pt idx="7">
                  <c:v>7.1061811538250064</c:v>
                </c:pt>
                <c:pt idx="8">
                  <c:v>8.8372275083304022</c:v>
                </c:pt>
                <c:pt idx="9">
                  <c:v>10.991492135053365</c:v>
                </c:pt>
                <c:pt idx="10">
                  <c:v>13.672799112874564</c:v>
                </c:pt>
                <c:pt idx="11">
                  <c:v>17.010523176738136</c:v>
                </c:pt>
                <c:pt idx="12">
                  <c:v>21.165895928647302</c:v>
                </c:pt>
                <c:pt idx="13">
                  <c:v>26.339872647679513</c:v>
                </c:pt>
                <c:pt idx="14">
                  <c:v>32.782946838762619</c:v>
                </c:pt>
                <c:pt idx="15">
                  <c:v>40.807395909670674</c:v>
                </c:pt>
                <c:pt idx="16">
                  <c:v>50.802561592342414</c:v>
                </c:pt>
                <c:pt idx="17">
                  <c:v>63.253918911800632</c:v>
                </c:pt>
                <c:pt idx="18">
                  <c:v>78.766875132901632</c:v>
                </c:pt>
                <c:pt idx="19">
                  <c:v>98.096474531132984</c:v>
                </c:pt>
                <c:pt idx="20">
                  <c:v>122.18447772619766</c:v>
                </c:pt>
                <c:pt idx="21">
                  <c:v>152.20565029747607</c:v>
                </c:pt>
                <c:pt idx="22">
                  <c:v>128.36948934023431</c:v>
                </c:pt>
                <c:pt idx="23">
                  <c:v>143.65063924383099</c:v>
                </c:pt>
                <c:pt idx="24">
                  <c:v>158.89285513276243</c:v>
                </c:pt>
                <c:pt idx="25">
                  <c:v>174.10040072649755</c:v>
                </c:pt>
                <c:pt idx="26">
                  <c:v>189.27673263786542</c:v>
                </c:pt>
                <c:pt idx="27">
                  <c:v>204.42470709321393</c:v>
                </c:pt>
                <c:pt idx="28">
                  <c:v>219.54672196983498</c:v>
                </c:pt>
                <c:pt idx="29">
                  <c:v>184.00538175094985</c:v>
                </c:pt>
                <c:pt idx="30">
                  <c:v>197.5929938437981</c:v>
                </c:pt>
                <c:pt idx="31">
                  <c:v>211.15892501458293</c:v>
                </c:pt>
                <c:pt idx="32">
                  <c:v>224.7047649504525</c:v>
                </c:pt>
                <c:pt idx="33">
                  <c:v>238.23189586782055</c:v>
                </c:pt>
                <c:pt idx="34">
                  <c:v>251.74153008738961</c:v>
                </c:pt>
                <c:pt idx="35">
                  <c:v>265.23473910996825</c:v>
                </c:pt>
                <c:pt idx="36">
                  <c:v>278.7124764590701</c:v>
                </c:pt>
                <c:pt idx="37">
                  <c:v>227.85556205190468</c:v>
                </c:pt>
                <c:pt idx="38">
                  <c:v>238.73255770354208</c:v>
                </c:pt>
                <c:pt idx="39">
                  <c:v>249.59826649936761</c:v>
                </c:pt>
                <c:pt idx="40">
                  <c:v>260.45324936356457</c:v>
                </c:pt>
                <c:pt idx="41">
                  <c:v>271.29801661196126</c:v>
                </c:pt>
                <c:pt idx="42">
                  <c:v>282.1330344023217</c:v>
                </c:pt>
                <c:pt idx="43">
                  <c:v>292.9587301411222</c:v>
                </c:pt>
                <c:pt idx="44">
                  <c:v>303.77549704875565</c:v>
                </c:pt>
                <c:pt idx="45">
                  <c:v>314.58369804007623</c:v>
                </c:pt>
                <c:pt idx="46">
                  <c:v>251.99869384485862</c:v>
                </c:pt>
                <c:pt idx="47">
                  <c:v>259.96785362161279</c:v>
                </c:pt>
                <c:pt idx="48">
                  <c:v>267.93149565924278</c:v>
                </c:pt>
                <c:pt idx="49">
                  <c:v>275.88980726802299</c:v>
                </c:pt>
                <c:pt idx="50">
                  <c:v>283.84296405810721</c:v>
                </c:pt>
                <c:pt idx="51">
                  <c:v>291.79113098496731</c:v>
                </c:pt>
                <c:pt idx="52">
                  <c:v>299.7344632748671</c:v>
                </c:pt>
                <c:pt idx="53">
                  <c:v>307.67310724702298</c:v>
                </c:pt>
                <c:pt idx="54">
                  <c:v>315.60720104640683</c:v>
                </c:pt>
                <c:pt idx="55">
                  <c:v>323.53687529895296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C24" sqref="C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20.440000000000001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20.440000000000001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20.440000000000001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v>114</v>
      </c>
      <c r="C36" s="63">
        <v>1</v>
      </c>
      <c r="D36" s="63">
        <v>30</v>
      </c>
      <c r="E36" s="54"/>
      <c r="F36" s="54"/>
      <c r="G36" s="54">
        <v>1</v>
      </c>
      <c r="H36" s="54"/>
      <c r="I36" s="52">
        <f>IFERROR(B36/A36,"")</f>
        <v>5.4285714285714288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166</v>
      </c>
      <c r="C37" s="63">
        <v>2</v>
      </c>
      <c r="D37" s="63">
        <v>38</v>
      </c>
      <c r="E37" s="54"/>
      <c r="F37" s="54"/>
      <c r="G37" s="54">
        <v>1</v>
      </c>
      <c r="H37" s="54"/>
      <c r="I37" s="56">
        <f t="shared" ref="I37:I55" si="1">IF(A37&lt;&gt;0,(B37-(B36-D36))/(A37-A36),"")</f>
        <v>11.714285714285714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36</v>
      </c>
      <c r="B38" s="63">
        <v>212</v>
      </c>
      <c r="C38" s="63">
        <v>3</v>
      </c>
      <c r="D38" s="63">
        <v>48</v>
      </c>
      <c r="E38" s="54">
        <v>0.3</v>
      </c>
      <c r="F38" s="54"/>
      <c r="G38" s="54">
        <v>0.7</v>
      </c>
      <c r="H38" s="54"/>
      <c r="I38" s="56">
        <f t="shared" si="1"/>
        <v>10.5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45</v>
      </c>
      <c r="B39" s="63">
        <v>240</v>
      </c>
      <c r="C39" s="63">
        <v>4</v>
      </c>
      <c r="D39" s="63">
        <v>55</v>
      </c>
      <c r="E39" s="54">
        <v>0.4</v>
      </c>
      <c r="F39" s="54">
        <v>0.2</v>
      </c>
      <c r="G39" s="54">
        <v>0.4</v>
      </c>
      <c r="H39" s="54"/>
      <c r="I39" s="52">
        <f t="shared" si="1"/>
        <v>8.4444444444444446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55</v>
      </c>
      <c r="B40" s="63">
        <v>247</v>
      </c>
      <c r="C40" s="63">
        <v>5</v>
      </c>
      <c r="D40" s="63">
        <v>247</v>
      </c>
      <c r="E40" s="54">
        <v>0.7</v>
      </c>
      <c r="F40" s="54"/>
      <c r="G40" s="54">
        <v>0.3</v>
      </c>
      <c r="H40" s="54"/>
      <c r="I40" s="52">
        <f t="shared" si="1"/>
        <v>6.2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125.50615549487452</v>
      </c>
      <c r="T3" s="62">
        <f>IF('Données projet'!E9&gt;30,$R$33-$H$33,LOOKUP('Données projet'!$E$9,$A$3:$A$203,R3:R203)-LOOKUP('Données projet'!$E$9,$A$3:$A$203,$H$3:$H$203))</f>
        <v>156.05798578195993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5.4285714285714288</v>
      </c>
      <c r="N4" s="14">
        <f>IF('Données projet'!$A$36&gt;35,N3+M4-V3,IF(A4&lt;'Données projet'!$A$36,$K$205^A4,IF(A4='Données projet'!$A$36,'Données projet'!$B$36,N3+M4-V3)))</f>
        <v>1.2529907072018422</v>
      </c>
      <c r="O4" s="14">
        <f>N4*VLOOKUP('Données projet'!$B$9,Paramètres!$A$1:$I$89,3,0)*VLOOKUP('Données projet'!$B$9,Paramètres!$A$1:$I$89,5,0)</f>
        <v>0.74928844290670171</v>
      </c>
      <c r="P4" s="14">
        <f>EXP(-1.0587+0.8836*LN(O4)+0.284)</f>
        <v>0.35710172769382492</v>
      </c>
      <c r="Q4" s="22">
        <f t="shared" ref="Q4:Q34" si="2">(O4+P4)*0.475*44/12</f>
        <v>1.9269628804625836</v>
      </c>
      <c r="R4" s="62">
        <f t="shared" si="0"/>
        <v>295.26029621379593</v>
      </c>
      <c r="S4" s="62">
        <f ca="1">AVERAGE(OFFSET($R$3,0,0,'Données projet'!$E$9+1,1))-AVERAGE(OFFSET($H$3,0,0,'Données projet'!$E$9+1,1))</f>
        <v>125.50615549487452</v>
      </c>
      <c r="T4" s="62">
        <f>$T$3</f>
        <v>156.05798578195993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5.4285714285714288</v>
      </c>
      <c r="N5" s="14">
        <f>IF('Données projet'!$A$36&gt;35,N4+M5-V4,IF(A5&lt;'Données projet'!$A$36,$K$205^A5,IF(A5='Données projet'!$A$36,'Données projet'!$B$36,N4+M5-V4)))</f>
        <v>1.5699857123341727</v>
      </c>
      <c r="O5" s="14">
        <f>N5*VLOOKUP('Données projet'!$B$9,Paramètres!$A$1:$I$89,3,0)*VLOOKUP('Données projet'!$B$9,Paramètres!$A$1:$I$89,5,0)</f>
        <v>0.93885145597583541</v>
      </c>
      <c r="P5" s="14">
        <f t="shared" ref="P5:P68" si="33">EXP(-1.0587+0.8836*LN(O5)+0.284)</f>
        <v>0.43585162716275028</v>
      </c>
      <c r="Q5" s="22">
        <f t="shared" si="2"/>
        <v>2.3942745364663698</v>
      </c>
      <c r="R5" s="62">
        <f t="shared" si="0"/>
        <v>295.72760786979967</v>
      </c>
      <c r="S5" s="62">
        <f ca="1">AVERAGE(OFFSET($R$3,0,0,'Données projet'!$E$9+1,1))-AVERAGE(OFFSET($H$3,0,0,'Données projet'!$E$9+1,1))</f>
        <v>125.50615549487452</v>
      </c>
      <c r="T5" s="62">
        <f t="shared" ref="T5:T68" si="34">$T$3</f>
        <v>156.05798578195993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5.4285714285714288</v>
      </c>
      <c r="N6" s="14">
        <f>IF('Données projet'!$A$36&gt;35,N5+M6-V5,IF(A6&lt;'Données projet'!$A$36,$K$205^A6,IF(A6='Données projet'!$A$36,'Données projet'!$B$36,N5+M6-V5)))</f>
        <v>1.9671775079943832</v>
      </c>
      <c r="O6" s="14">
        <f>N6*VLOOKUP('Données projet'!$B$9,Paramètres!$A$1:$I$89,3,0)*VLOOKUP('Données projet'!$B$9,Paramètres!$A$1:$I$89,5,0)</f>
        <v>1.1763721497806412</v>
      </c>
      <c r="P6" s="14">
        <f t="shared" si="33"/>
        <v>0.53196785724680784</v>
      </c>
      <c r="Q6" s="22">
        <f t="shared" si="2"/>
        <v>2.9753588455728068</v>
      </c>
      <c r="R6" s="62">
        <f t="shared" si="0"/>
        <v>296.30869217890614</v>
      </c>
      <c r="S6" s="62">
        <f ca="1">AVERAGE(OFFSET($R$3,0,0,'Données projet'!$E$9+1,1))-AVERAGE(OFFSET($H$3,0,0,'Données projet'!$E$9+1,1))</f>
        <v>125.50615549487452</v>
      </c>
      <c r="T6" s="62">
        <f t="shared" si="34"/>
        <v>156.05798578195993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5.4285714285714288</v>
      </c>
      <c r="N7" s="14">
        <f>IF('Données projet'!$A$36&gt;35,N6+M7-V6,IF(A7&lt;'Données projet'!$A$36,$K$205^A7,IF(A7='Données projet'!$A$36,'Données projet'!$B$36,N6+M7-V6)))</f>
        <v>2.4648551369334397</v>
      </c>
      <c r="O7" s="14">
        <f>N7*VLOOKUP('Données projet'!$B$9,Paramètres!$A$1:$I$89,3,0)*VLOOKUP('Données projet'!$B$9,Paramètres!$A$1:$I$89,5,0)</f>
        <v>1.4739833718861972</v>
      </c>
      <c r="P7" s="14">
        <f t="shared" si="33"/>
        <v>0.64928012999728812</v>
      </c>
      <c r="Q7" s="22">
        <f t="shared" si="2"/>
        <v>3.698017265780404</v>
      </c>
      <c r="R7" s="62">
        <f t="shared" si="0"/>
        <v>297.03135059911369</v>
      </c>
      <c r="S7" s="62">
        <f ca="1">AVERAGE(OFFSET($R$3,0,0,'Données projet'!$E$9+1,1))-AVERAGE(OFFSET($H$3,0,0,'Données projet'!$E$9+1,1))</f>
        <v>125.50615549487452</v>
      </c>
      <c r="T7" s="62">
        <f t="shared" si="34"/>
        <v>156.05798578195993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5.4285714285714288</v>
      </c>
      <c r="N8" s="14">
        <f>IF('Données projet'!$A$36&gt;35,N7+M8-V7,IF(A8&lt;'Données projet'!$A$36,$K$205^A8,IF(A8='Données projet'!$A$36,'Données projet'!$B$36,N7+M8-V7)))</f>
        <v>3.0884405811763243</v>
      </c>
      <c r="O8" s="14">
        <f>N8*VLOOKUP('Données projet'!$B$9,Paramètres!$A$1:$I$89,3,0)*VLOOKUP('Données projet'!$B$9,Paramètres!$A$1:$I$89,5,0)</f>
        <v>1.8468874675434421</v>
      </c>
      <c r="P8" s="14">
        <f t="shared" si="33"/>
        <v>0.79246270515496464</v>
      </c>
      <c r="Q8" s="22">
        <f t="shared" si="2"/>
        <v>4.5968682174497255</v>
      </c>
      <c r="R8" s="62">
        <f t="shared" si="0"/>
        <v>297.93020155078307</v>
      </c>
      <c r="S8" s="62">
        <f ca="1">AVERAGE(OFFSET($R$3,0,0,'Données projet'!$E$9+1,1))-AVERAGE(OFFSET($H$3,0,0,'Données projet'!$E$9+1,1))</f>
        <v>125.50615549487452</v>
      </c>
      <c r="T8" s="62">
        <f t="shared" si="34"/>
        <v>156.05798578195993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5.4285714285714288</v>
      </c>
      <c r="N9" s="14">
        <f>IF('Données projet'!$A$36&gt;35,N8+M9-V8,IF(A9&lt;'Données projet'!$A$36,$K$205^A9,IF(A9='Données projet'!$A$36,'Données projet'!$B$36,N8+M9-V8)))</f>
        <v>3.869787347958991</v>
      </c>
      <c r="O9" s="14">
        <f>N9*VLOOKUP('Données projet'!$B$9,Paramètres!$A$1:$I$89,3,0)*VLOOKUP('Données projet'!$B$9,Paramètres!$A$1:$I$89,5,0)</f>
        <v>2.3141328340794769</v>
      </c>
      <c r="P9" s="14">
        <f t="shared" si="33"/>
        <v>0.96722063412620896</v>
      </c>
      <c r="Q9" s="22">
        <f t="shared" si="2"/>
        <v>5.7150239571249024</v>
      </c>
      <c r="R9" s="62">
        <f t="shared" si="0"/>
        <v>299.04835729045823</v>
      </c>
      <c r="S9" s="62">
        <f ca="1">AVERAGE(OFFSET($R$3,0,0,'Données projet'!$E$9+1,1))-AVERAGE(OFFSET($H$3,0,0,'Données projet'!$E$9+1,1))</f>
        <v>125.50615549487452</v>
      </c>
      <c r="T9" s="62">
        <f t="shared" si="34"/>
        <v>156.05798578195993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5.4285714285714288</v>
      </c>
      <c r="N10" s="14">
        <f>IF('Données projet'!$A$36&gt;35,N9+M10-V9,IF(A10&lt;'Données projet'!$A$36,$K$205^A10,IF(A10='Données projet'!$A$36,'Données projet'!$B$36,N9+M10-V9)))</f>
        <v>4.8488075858398778</v>
      </c>
      <c r="O10" s="14">
        <f>N10*VLOOKUP('Données projet'!$B$9,Paramètres!$A$1:$I$89,3,0)*VLOOKUP('Données projet'!$B$9,Paramètres!$A$1:$I$89,5,0)</f>
        <v>2.8995869363322471</v>
      </c>
      <c r="P10" s="14">
        <f t="shared" si="33"/>
        <v>1.180517075433307</v>
      </c>
      <c r="Q10" s="22">
        <f t="shared" si="2"/>
        <v>7.1061811538250064</v>
      </c>
      <c r="R10" s="62">
        <f t="shared" si="0"/>
        <v>300.43951448715831</v>
      </c>
      <c r="S10" s="62">
        <f ca="1">AVERAGE(OFFSET($R$3,0,0,'Données projet'!$E$9+1,1))-AVERAGE(OFFSET($H$3,0,0,'Données projet'!$E$9+1,1))</f>
        <v>125.50615549487452</v>
      </c>
      <c r="T10" s="62">
        <f t="shared" si="34"/>
        <v>156.05798578195993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5.4285714285714288</v>
      </c>
      <c r="N11" s="14">
        <f>IF('Données projet'!$A$36&gt;35,N10+M11-V10,IF(A11&lt;'Données projet'!$A$36,$K$205^A11,IF(A11='Données projet'!$A$36,'Données projet'!$B$36,N10+M11-V10)))</f>
        <v>6.0755108460671661</v>
      </c>
      <c r="O11" s="14">
        <f>N11*VLOOKUP('Données projet'!$B$9,Paramètres!$A$1:$I$89,3,0)*VLOOKUP('Données projet'!$B$9,Paramètres!$A$1:$I$89,5,0)</f>
        <v>3.6331554859481652</v>
      </c>
      <c r="P11" s="14">
        <f t="shared" si="33"/>
        <v>1.4408507389305341</v>
      </c>
      <c r="Q11" s="22">
        <f t="shared" si="2"/>
        <v>8.8372275083304022</v>
      </c>
      <c r="R11" s="62">
        <f t="shared" si="0"/>
        <v>302.1705608416637</v>
      </c>
      <c r="S11" s="62">
        <f ca="1">AVERAGE(OFFSET($R$3,0,0,'Données projet'!$E$9+1,1))-AVERAGE(OFFSET($H$3,0,0,'Données projet'!$E$9+1,1))</f>
        <v>125.50615549487452</v>
      </c>
      <c r="T11" s="62">
        <f t="shared" si="34"/>
        <v>156.05798578195993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5.4285714285714288</v>
      </c>
      <c r="N12" s="14">
        <f>IF('Données projet'!$A$36&gt;35,N11+M12-V11,IF(A12&lt;'Données projet'!$A$36,$K$205^A12,IF(A12='Données projet'!$A$36,'Données projet'!$B$36,N11+M12-V11)))</f>
        <v>7.6125586316261611</v>
      </c>
      <c r="O12" s="14">
        <f>N12*VLOOKUP('Données projet'!$B$9,Paramètres!$A$1:$I$89,3,0)*VLOOKUP('Données projet'!$B$9,Paramètres!$A$1:$I$89,5,0)</f>
        <v>4.5523100617124452</v>
      </c>
      <c r="P12" s="14">
        <f t="shared" si="33"/>
        <v>1.7585945134378136</v>
      </c>
      <c r="Q12" s="22">
        <f t="shared" si="2"/>
        <v>10.991492135053365</v>
      </c>
      <c r="R12" s="62">
        <f t="shared" si="0"/>
        <v>304.32482546838668</v>
      </c>
      <c r="S12" s="62">
        <f ca="1">AVERAGE(OFFSET($R$3,0,0,'Données projet'!$E$9+1,1))-AVERAGE(OFFSET($H$3,0,0,'Données projet'!$E$9+1,1))</f>
        <v>125.50615549487452</v>
      </c>
      <c r="T12" s="62">
        <f t="shared" si="34"/>
        <v>156.05798578195993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5.4285714285714288</v>
      </c>
      <c r="N13" s="14">
        <f>IF('Données projet'!$A$36&gt;35,N12+M13-V12,IF(A13&lt;'Données projet'!$A$36,$K$205^A13,IF(A13='Données projet'!$A$36,'Données projet'!$B$36,N12+M13-V12)))</f>
        <v>9.5384652234567522</v>
      </c>
      <c r="O13" s="14">
        <f>N13*VLOOKUP('Données projet'!$B$9,Paramètres!$A$1:$I$89,3,0)*VLOOKUP('Données projet'!$B$9,Paramètres!$A$1:$I$89,5,0)</f>
        <v>5.7040022036271392</v>
      </c>
      <c r="P13" s="14">
        <f t="shared" si="33"/>
        <v>2.1464087702721311</v>
      </c>
      <c r="Q13" s="22">
        <f t="shared" si="2"/>
        <v>13.672799112874564</v>
      </c>
      <c r="R13" s="62">
        <f t="shared" si="0"/>
        <v>307.00613244620786</v>
      </c>
      <c r="S13" s="62">
        <f ca="1">AVERAGE(OFFSET($R$3,0,0,'Données projet'!$E$9+1,1))-AVERAGE(OFFSET($H$3,0,0,'Données projet'!$E$9+1,1))</f>
        <v>125.50615549487452</v>
      </c>
      <c r="T13" s="62">
        <f t="shared" si="34"/>
        <v>156.05798578195993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5.4285714285714288</v>
      </c>
      <c r="N14" s="14">
        <f>IF('Données projet'!$A$36&gt;35,N13+M14-V13,IF(A14&lt;'Données projet'!$A$36,$K$205^A14,IF(A14='Données projet'!$A$36,'Données projet'!$B$36,N13+M14-V13)))</f>
        <v>11.951608285959255</v>
      </c>
      <c r="O14" s="14">
        <f>N14*VLOOKUP('Données projet'!$B$9,Paramètres!$A$1:$I$89,3,0)*VLOOKUP('Données projet'!$B$9,Paramètres!$A$1:$I$89,5,0)</f>
        <v>7.1470617550036346</v>
      </c>
      <c r="P14" s="14">
        <f t="shared" si="33"/>
        <v>2.6197458105876406</v>
      </c>
      <c r="Q14" s="22">
        <f t="shared" si="2"/>
        <v>17.010523176738136</v>
      </c>
      <c r="R14" s="62">
        <f t="shared" si="0"/>
        <v>310.34385651007148</v>
      </c>
      <c r="S14" s="62">
        <f ca="1">AVERAGE(OFFSET($R$3,0,0,'Données projet'!$E$9+1,1))-AVERAGE(OFFSET($H$3,0,0,'Données projet'!$E$9+1,1))</f>
        <v>125.50615549487452</v>
      </c>
      <c r="T14" s="62">
        <f t="shared" si="34"/>
        <v>156.05798578195993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5.4285714285714288</v>
      </c>
      <c r="N15" s="14">
        <f>IF('Données projet'!$A$36&gt;35,N14+M15-V14,IF(A15&lt;'Données projet'!$A$36,$K$205^A15,IF(A15='Données projet'!$A$36,'Données projet'!$B$36,N14+M15-V14)))</f>
        <v>14.975254118423482</v>
      </c>
      <c r="O15" s="14">
        <f>N15*VLOOKUP('Données projet'!$B$9,Paramètres!$A$1:$I$89,3,0)*VLOOKUP('Données projet'!$B$9,Paramètres!$A$1:$I$89,5,0)</f>
        <v>8.9552019628172435</v>
      </c>
      <c r="P15" s="14">
        <f t="shared" si="33"/>
        <v>3.1974655560233125</v>
      </c>
      <c r="Q15" s="22">
        <f t="shared" si="2"/>
        <v>21.165895928647302</v>
      </c>
      <c r="R15" s="62">
        <f t="shared" si="0"/>
        <v>314.49922926198064</v>
      </c>
      <c r="S15" s="62">
        <f ca="1">AVERAGE(OFFSET($R$3,0,0,'Données projet'!$E$9+1,1))-AVERAGE(OFFSET($H$3,0,0,'Données projet'!$E$9+1,1))</f>
        <v>125.50615549487452</v>
      </c>
      <c r="T15" s="62">
        <f t="shared" si="34"/>
        <v>156.05798578195993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5.4285714285714288</v>
      </c>
      <c r="N16" s="14">
        <f>IF('Données projet'!$A$36&gt;35,N15+M16-V15,IF(A16&lt;'Données projet'!$A$36,$K$205^A16,IF(A16='Données projet'!$A$36,'Données projet'!$B$36,N15+M16-V15)))</f>
        <v>18.763854248370741</v>
      </c>
      <c r="O16" s="14">
        <f>N16*VLOOKUP('Données projet'!$B$9,Paramètres!$A$1:$I$89,3,0)*VLOOKUP('Données projet'!$B$9,Paramètres!$A$1:$I$89,5,0)</f>
        <v>11.220784840525702</v>
      </c>
      <c r="P16" s="14">
        <f t="shared" si="33"/>
        <v>3.9025870146012931</v>
      </c>
      <c r="Q16" s="22">
        <f t="shared" si="2"/>
        <v>26.339872647679513</v>
      </c>
      <c r="R16" s="62">
        <f t="shared" si="0"/>
        <v>319.67320598101281</v>
      </c>
      <c r="S16" s="62">
        <f ca="1">AVERAGE(OFFSET($R$3,0,0,'Données projet'!$E$9+1,1))-AVERAGE(OFFSET($H$3,0,0,'Données projet'!$E$9+1,1))</f>
        <v>125.50615549487452</v>
      </c>
      <c r="T16" s="62">
        <f t="shared" si="34"/>
        <v>156.05798578195993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5.4285714285714288</v>
      </c>
      <c r="N17" s="14">
        <f>IF('Données projet'!$A$36&gt;35,N16+M17-V16,IF(A17&lt;'Données projet'!$A$36,$K$205^A17,IF(A17='Données projet'!$A$36,'Données projet'!$B$36,N16+M17-V16)))</f>
        <v>23.510935004498343</v>
      </c>
      <c r="O17" s="14">
        <f>N17*VLOOKUP('Données projet'!$B$9,Paramètres!$A$1:$I$89,3,0)*VLOOKUP('Données projet'!$B$9,Paramètres!$A$1:$I$89,5,0)</f>
        <v>14.059539132690011</v>
      </c>
      <c r="P17" s="14">
        <f t="shared" si="33"/>
        <v>4.7632054637287231</v>
      </c>
      <c r="Q17" s="22">
        <f t="shared" si="2"/>
        <v>32.782946838762619</v>
      </c>
      <c r="R17" s="62">
        <f t="shared" si="0"/>
        <v>326.11628017209591</v>
      </c>
      <c r="S17" s="62">
        <f ca="1">AVERAGE(OFFSET($R$3,0,0,'Données projet'!$E$9+1,1))-AVERAGE(OFFSET($H$3,0,0,'Données projet'!$E$9+1,1))</f>
        <v>125.50615549487452</v>
      </c>
      <c r="T17" s="62">
        <f t="shared" si="34"/>
        <v>156.05798578195993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5.4285714285714288</v>
      </c>
      <c r="N18" s="14">
        <f>IF('Données projet'!$A$36&gt;35,N17+M18-V17,IF(A18&lt;'Données projet'!$A$36,$K$205^A18,IF(A18='Données projet'!$A$36,'Données projet'!$B$36,N17+M18-V17)))</f>
        <v>29.458983078262929</v>
      </c>
      <c r="O18" s="14">
        <f>N18*VLOOKUP('Données projet'!$B$9,Paramètres!$A$1:$I$89,3,0)*VLOOKUP('Données projet'!$B$9,Paramètres!$A$1:$I$89,5,0)</f>
        <v>17.616471880801232</v>
      </c>
      <c r="P18" s="14">
        <f t="shared" si="33"/>
        <v>5.8136118950862361</v>
      </c>
      <c r="Q18" s="22">
        <f t="shared" si="2"/>
        <v>40.807395909670674</v>
      </c>
      <c r="R18" s="62">
        <f t="shared" si="0"/>
        <v>334.14072924300399</v>
      </c>
      <c r="S18" s="62">
        <f ca="1">AVERAGE(OFFSET($R$3,0,0,'Données projet'!$E$9+1,1))-AVERAGE(OFFSET($H$3,0,0,'Données projet'!$E$9+1,1))</f>
        <v>125.50615549487452</v>
      </c>
      <c r="T18" s="62">
        <f t="shared" si="34"/>
        <v>156.05798578195993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5.4285714285714288</v>
      </c>
      <c r="N19" s="14">
        <f>IF('Données projet'!$A$36&gt;35,N18+M19-V18,IF(A19&lt;'Données projet'!$A$36,$K$205^A19,IF(A19='Données projet'!$A$36,'Données projet'!$B$36,N18+M19-V18)))</f>
        <v>36.911832040679769</v>
      </c>
      <c r="O19" s="14">
        <f>N19*VLOOKUP('Données projet'!$B$9,Paramètres!$A$1:$I$89,3,0)*VLOOKUP('Données projet'!$B$9,Paramètres!$A$1:$I$89,5,0)</f>
        <v>22.073275560326504</v>
      </c>
      <c r="P19" s="14">
        <f t="shared" si="33"/>
        <v>7.0956593252289464</v>
      </c>
      <c r="Q19" s="22">
        <f t="shared" si="2"/>
        <v>50.802561592342414</v>
      </c>
      <c r="R19" s="62">
        <f t="shared" si="0"/>
        <v>344.13589492567576</v>
      </c>
      <c r="S19" s="62">
        <f ca="1">AVERAGE(OFFSET($R$3,0,0,'Données projet'!$E$9+1,1))-AVERAGE(OFFSET($H$3,0,0,'Données projet'!$E$9+1,1))</f>
        <v>125.50615549487452</v>
      </c>
      <c r="T19" s="62">
        <f t="shared" si="34"/>
        <v>156.05798578195993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5.4285714285714288</v>
      </c>
      <c r="N20" s="14">
        <f>IF('Données projet'!$A$36&gt;35,N19+M20-V19,IF(A20&lt;'Données projet'!$A$36,$K$205^A20,IF(A20='Données projet'!$A$36,'Données projet'!$B$36,N19+M20-V19)))</f>
        <v>46.250182532766964</v>
      </c>
      <c r="O20" s="14">
        <f>N20*VLOOKUP('Données projet'!$B$9,Paramètres!$A$1:$I$89,3,0)*VLOOKUP('Données projet'!$B$9,Paramètres!$A$1:$I$89,5,0)</f>
        <v>27.657609154594645</v>
      </c>
      <c r="P20" s="14">
        <f t="shared" si="33"/>
        <v>8.660430411989454</v>
      </c>
      <c r="Q20" s="22">
        <f t="shared" si="2"/>
        <v>63.253918911800632</v>
      </c>
      <c r="R20" s="62">
        <f t="shared" si="0"/>
        <v>356.58725224513393</v>
      </c>
      <c r="S20" s="62">
        <f ca="1">AVERAGE(OFFSET($R$3,0,0,'Données projet'!$E$9+1,1))-AVERAGE(OFFSET($H$3,0,0,'Données projet'!$E$9+1,1))</f>
        <v>125.50615549487452</v>
      </c>
      <c r="T20" s="62">
        <f t="shared" si="34"/>
        <v>156.05798578195993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5.4285714285714288</v>
      </c>
      <c r="N21" s="14">
        <f>IF('Données projet'!$A$36&gt;35,N20+M21-V20,IF(A21&lt;'Données projet'!$A$36,$K$205^A21,IF(A21='Données projet'!$A$36,'Données projet'!$B$36,N20+M21-V20)))</f>
        <v>57.951048919945968</v>
      </c>
      <c r="O21" s="14">
        <f>N21*VLOOKUP('Données projet'!$B$9,Paramètres!$A$1:$I$89,3,0)*VLOOKUP('Données projet'!$B$9,Paramètres!$A$1:$I$89,5,0)</f>
        <v>34.654727254127693</v>
      </c>
      <c r="P21" s="14">
        <f t="shared" si="33"/>
        <v>10.57027282217947</v>
      </c>
      <c r="Q21" s="22">
        <f t="shared" si="2"/>
        <v>78.766875132901632</v>
      </c>
      <c r="R21" s="62">
        <f t="shared" si="0"/>
        <v>372.10020846623496</v>
      </c>
      <c r="S21" s="62">
        <f ca="1">AVERAGE(OFFSET($R$3,0,0,'Données projet'!$E$9+1,1))-AVERAGE(OFFSET($H$3,0,0,'Données projet'!$E$9+1,1))</f>
        <v>125.50615549487452</v>
      </c>
      <c r="T21" s="62">
        <f t="shared" si="34"/>
        <v>156.05798578195993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5.4285714285714288</v>
      </c>
      <c r="N22" s="14">
        <f>IF('Données projet'!$A$36&gt;35,N21+M22-V21,IF(A22&lt;'Données projet'!$A$36,$K$205^A22,IF(A22='Données projet'!$A$36,'Données projet'!$B$36,N21+M22-V21)))</f>
        <v>72.612125769291652</v>
      </c>
      <c r="O22" s="14">
        <f>N22*VLOOKUP('Données projet'!$B$9,Paramètres!$A$1:$I$89,3,0)*VLOOKUP('Données projet'!$B$9,Paramètres!$A$1:$I$89,5,0)</f>
        <v>43.422051210036408</v>
      </c>
      <c r="P22" s="14">
        <f t="shared" si="33"/>
        <v>12.901283448987318</v>
      </c>
      <c r="Q22" s="22">
        <f t="shared" si="2"/>
        <v>98.096474531132984</v>
      </c>
      <c r="R22" s="62">
        <f t="shared" si="0"/>
        <v>391.42980786446628</v>
      </c>
      <c r="S22" s="62">
        <f ca="1">AVERAGE(OFFSET($R$3,0,0,'Données projet'!$E$9+1,1))-AVERAGE(OFFSET($H$3,0,0,'Données projet'!$E$9+1,1))</f>
        <v>125.50615549487452</v>
      </c>
      <c r="T22" s="62">
        <f t="shared" si="34"/>
        <v>156.05798578195993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5.4285714285714288</v>
      </c>
      <c r="N23" s="14">
        <f>IF('Données projet'!$A$36&gt;35,N22+M23-V22,IF(A23&lt;'Données projet'!$A$36,$K$205^A23,IF(A23='Données projet'!$A$36,'Données projet'!$B$36,N22+M23-V22)))</f>
        <v>90.982318819093862</v>
      </c>
      <c r="O23" s="14">
        <f>N23*VLOOKUP('Données projet'!$B$9,Paramètres!$A$1:$I$89,3,0)*VLOOKUP('Données projet'!$B$9,Paramètres!$A$1:$I$89,5,0)</f>
        <v>54.407426653818135</v>
      </c>
      <c r="P23" s="14">
        <f t="shared" si="33"/>
        <v>15.746340461702045</v>
      </c>
      <c r="Q23" s="22">
        <f t="shared" si="2"/>
        <v>122.18447772619766</v>
      </c>
      <c r="R23" s="62">
        <f t="shared" si="0"/>
        <v>415.51781105953097</v>
      </c>
      <c r="S23" s="62">
        <f ca="1">AVERAGE(OFFSET($R$3,0,0,'Données projet'!$E$9+1,1))-AVERAGE(OFFSET($H$3,0,0,'Données projet'!$E$9+1,1))</f>
        <v>125.50615549487452</v>
      </c>
      <c r="T23" s="62">
        <f t="shared" si="34"/>
        <v>156.05798578195993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114</v>
      </c>
      <c r="L24" s="13">
        <f>VLOOKUP(A24,'Données projet'!$A$35:$I$55,9,0)</f>
        <v>5.4285714285714288</v>
      </c>
      <c r="M24" s="13">
        <f t="array" ref="M24">INDEX(L:L,MIN(IF(ISNUMBER(L24:L220),ROW(L24:L220),"")))</f>
        <v>5.4285714285714288</v>
      </c>
      <c r="N24" s="14">
        <f>IF('Données projet'!$A$36&gt;35,N23+M24-V23,IF(A24&lt;'Données projet'!$A$36,$K$205^A24,IF(A24='Données projet'!$A$36,'Données projet'!$B$36,N23+M24-V23)))</f>
        <v>114</v>
      </c>
      <c r="O24" s="14">
        <f>N24*VLOOKUP('Données projet'!$B$9,Paramètres!$A$1:$I$89,3,0)*VLOOKUP('Données projet'!$B$9,Paramètres!$A$1:$I$89,5,0)</f>
        <v>68.172000000000011</v>
      </c>
      <c r="P24" s="14">
        <f t="shared" si="33"/>
        <v>19.21880399855084</v>
      </c>
      <c r="Q24" s="22">
        <f t="shared" si="2"/>
        <v>152.20565029747607</v>
      </c>
      <c r="R24" s="62">
        <f t="shared" si="0"/>
        <v>445.53898363080941</v>
      </c>
      <c r="S24" s="62">
        <f ca="1">AVERAGE(OFFSET($R$3,0,0,'Données projet'!$E$9+1,1))-AVERAGE(OFFSET($H$3,0,0,'Données projet'!$E$9+1,1))</f>
        <v>125.50615549487452</v>
      </c>
      <c r="T24" s="62">
        <f t="shared" si="34"/>
        <v>156.05798578195993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30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20.3122474176248</v>
      </c>
      <c r="AC24" s="24">
        <f t="shared" si="3"/>
        <v>20.3122474176248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11.714285714285714</v>
      </c>
      <c r="N25" s="14">
        <f>IF('Données projet'!$A$36&gt;35,N24+M25-V24,IF(A25&lt;'Données projet'!$A$36,$K$205^A25,IF(A25='Données projet'!$A$36,'Données projet'!$B$36,N24+M25-V24)))</f>
        <v>95.714285714285708</v>
      </c>
      <c r="O25" s="14">
        <f>N25*VLOOKUP('Données projet'!$B$9,Paramètres!$A$1:$I$89,3,0)*VLOOKUP('Données projet'!$B$9,Paramètres!$A$1:$I$89,5,0)</f>
        <v>57.237142857142857</v>
      </c>
      <c r="P25" s="14">
        <f t="shared" si="33"/>
        <v>16.467827098972535</v>
      </c>
      <c r="Q25" s="22">
        <f t="shared" si="2"/>
        <v>128.36948934023431</v>
      </c>
      <c r="R25" s="62">
        <f t="shared" si="0"/>
        <v>421.70282267356765</v>
      </c>
      <c r="S25" s="62">
        <f ca="1">AVERAGE(OFFSET($R$3,0,0,'Données projet'!$E$9+1,1))-AVERAGE(OFFSET($H$3,0,0,'Données projet'!$E$9+1,1))</f>
        <v>125.50615549487452</v>
      </c>
      <c r="T25" s="62">
        <f t="shared" si="34"/>
        <v>156.05798578195993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14.362927890141435</v>
      </c>
      <c r="AC25" s="24">
        <f t="shared" si="3"/>
        <v>14.362927890141435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11.714285714285714</v>
      </c>
      <c r="N26" s="14">
        <f>IF('Données projet'!$A$36&gt;35,N25+M26-V25,IF(A26&lt;'Données projet'!$A$36,$K$205^A26,IF(A26='Données projet'!$A$36,'Données projet'!$B$36,N25+M26-V25)))</f>
        <v>107.42857142857142</v>
      </c>
      <c r="O26" s="14">
        <f>N26*VLOOKUP('Données projet'!$B$9,Paramètres!$A$1:$I$89,3,0)*VLOOKUP('Données projet'!$B$9,Paramètres!$A$1:$I$89,5,0)</f>
        <v>64.242285714285714</v>
      </c>
      <c r="P26" s="14">
        <f t="shared" si="33"/>
        <v>18.236550215186625</v>
      </c>
      <c r="Q26" s="22">
        <f t="shared" si="2"/>
        <v>143.65063924383099</v>
      </c>
      <c r="R26" s="62">
        <f t="shared" si="0"/>
        <v>436.98397257716431</v>
      </c>
      <c r="S26" s="62">
        <f ca="1">AVERAGE(OFFSET($R$3,0,0,'Données projet'!$E$9+1,1))-AVERAGE(OFFSET($H$3,0,0,'Données projet'!$E$9+1,1))</f>
        <v>125.50615549487452</v>
      </c>
      <c r="T26" s="62">
        <f t="shared" si="34"/>
        <v>156.05798578195993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10.156123708812402</v>
      </c>
      <c r="AC26" s="24">
        <f t="shared" si="3"/>
        <v>10.156123708812402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11.714285714285714</v>
      </c>
      <c r="N27" s="14">
        <f>IF('Données projet'!$A$36&gt;35,N26+M27-V26,IF(A27&lt;'Données projet'!$A$36,$K$205^A27,IF(A27='Données projet'!$A$36,'Données projet'!$B$36,N26+M27-V26)))</f>
        <v>119.14285714285712</v>
      </c>
      <c r="O27" s="14">
        <f>N27*VLOOKUP('Données projet'!$B$9,Paramètres!$A$1:$I$89,3,0)*VLOOKUP('Données projet'!$B$9,Paramètres!$A$1:$I$89,5,0)</f>
        <v>71.247428571428571</v>
      </c>
      <c r="P27" s="14">
        <f t="shared" si="33"/>
        <v>19.98291887321972</v>
      </c>
      <c r="Q27" s="22">
        <f t="shared" si="2"/>
        <v>158.89285513276243</v>
      </c>
      <c r="R27" s="62">
        <f t="shared" si="0"/>
        <v>452.22618846609578</v>
      </c>
      <c r="S27" s="62">
        <f ca="1">AVERAGE(OFFSET($R$3,0,0,'Données projet'!$E$9+1,1))-AVERAGE(OFFSET($H$3,0,0,'Données projet'!$E$9+1,1))</f>
        <v>125.50615549487452</v>
      </c>
      <c r="T27" s="62">
        <f t="shared" si="34"/>
        <v>156.05798578195993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7.1814639450707185</v>
      </c>
      <c r="AC27" s="24">
        <f t="shared" si="3"/>
        <v>7.1814639450707185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11.714285714285714</v>
      </c>
      <c r="N28" s="14">
        <f>IF('Données projet'!$A$36&gt;35,N27+M28-V27,IF(A28&lt;'Données projet'!$A$36,$K$205^A28,IF(A28='Données projet'!$A$36,'Données projet'!$B$36,N27+M28-V27)))</f>
        <v>130.85714285714283</v>
      </c>
      <c r="O28" s="14">
        <f>N28*VLOOKUP('Données projet'!$B$9,Paramètres!$A$1:$I$89,3,0)*VLOOKUP('Données projet'!$B$9,Paramètres!$A$1:$I$89,5,0)</f>
        <v>78.252571428571414</v>
      </c>
      <c r="P28" s="14">
        <f t="shared" si="33"/>
        <v>21.709381141666423</v>
      </c>
      <c r="Q28" s="22">
        <f t="shared" si="2"/>
        <v>174.10040072649755</v>
      </c>
      <c r="R28" s="62">
        <f t="shared" si="0"/>
        <v>467.43373405983084</v>
      </c>
      <c r="S28" s="62">
        <f ca="1">AVERAGE(OFFSET($R$3,0,0,'Données projet'!$E$9+1,1))-AVERAGE(OFFSET($H$3,0,0,'Données projet'!$E$9+1,1))</f>
        <v>125.50615549487452</v>
      </c>
      <c r="T28" s="62">
        <f t="shared" si="34"/>
        <v>156.05798578195993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5.0780618544062008</v>
      </c>
      <c r="AC28" s="24">
        <f t="shared" si="3"/>
        <v>5.0780618544062008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11.714285714285714</v>
      </c>
      <c r="N29" s="14">
        <f>IF('Données projet'!$A$36&gt;35,N28+M29-V28,IF(A29&lt;'Données projet'!$A$36,$K$205^A29,IF(A29='Données projet'!$A$36,'Données projet'!$B$36,N28+M29-V28)))</f>
        <v>142.57142857142856</v>
      </c>
      <c r="O29" s="14">
        <f>N29*VLOOKUP('Données projet'!$B$9,Paramètres!$A$1:$I$89,3,0)*VLOOKUP('Données projet'!$B$9,Paramètres!$A$1:$I$89,5,0)</f>
        <v>85.257714285714286</v>
      </c>
      <c r="P29" s="14">
        <f t="shared" si="33"/>
        <v>23.417921678610391</v>
      </c>
      <c r="Q29" s="22">
        <f t="shared" si="2"/>
        <v>189.27673263786542</v>
      </c>
      <c r="R29" s="62">
        <f t="shared" si="0"/>
        <v>482.61006597119876</v>
      </c>
      <c r="S29" s="62">
        <f ca="1">AVERAGE(OFFSET($R$3,0,0,'Données projet'!$E$9+1,1))-AVERAGE(OFFSET($H$3,0,0,'Données projet'!$E$9+1,1))</f>
        <v>125.50615549487452</v>
      </c>
      <c r="T29" s="62">
        <f t="shared" si="34"/>
        <v>156.05798578195993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3.5907319725353593</v>
      </c>
      <c r="AC29" s="24">
        <f t="shared" si="3"/>
        <v>3.5907319725353593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11.714285714285714</v>
      </c>
      <c r="N30" s="14">
        <f>IF('Données projet'!$A$36&gt;35,N29+M30-V29,IF(A30&lt;'Données projet'!$A$36,$K$205^A30,IF(A30='Données projet'!$A$36,'Données projet'!$B$36,N29+M30-V29)))</f>
        <v>154.28571428571428</v>
      </c>
      <c r="O30" s="14">
        <f>N30*VLOOKUP('Données projet'!$B$9,Paramètres!$A$1:$I$89,3,0)*VLOOKUP('Données projet'!$B$9,Paramètres!$A$1:$I$89,5,0)</f>
        <v>92.262857142857158</v>
      </c>
      <c r="P30" s="14">
        <f t="shared" si="33"/>
        <v>25.110180422624538</v>
      </c>
      <c r="Q30" s="22">
        <f t="shared" si="2"/>
        <v>204.42470709321393</v>
      </c>
      <c r="R30" s="62">
        <f t="shared" si="0"/>
        <v>497.75804042654727</v>
      </c>
      <c r="S30" s="62">
        <f ca="1">AVERAGE(OFFSET($R$3,0,0,'Données projet'!$E$9+1,1))-AVERAGE(OFFSET($H$3,0,0,'Données projet'!$E$9+1,1))</f>
        <v>125.50615549487452</v>
      </c>
      <c r="T30" s="62">
        <f t="shared" si="34"/>
        <v>156.05798578195993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2.5390309272031004</v>
      </c>
      <c r="AC30" s="24">
        <f t="shared" si="3"/>
        <v>2.5390309272031004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166</v>
      </c>
      <c r="L31" s="13">
        <f>VLOOKUP(A31,'Données projet'!$A$35:$I$55,9,0)</f>
        <v>11.714285714285714</v>
      </c>
      <c r="M31" s="13">
        <f t="array" ref="M31">INDEX(L:L,MIN(IF(ISNUMBER(L31:L227),ROW(L31:L227),"")))</f>
        <v>11.714285714285714</v>
      </c>
      <c r="N31" s="14">
        <f>IF('Données projet'!$A$36&gt;35,N30+M31-V30,IF(A31&lt;'Données projet'!$A$36,$K$205^A31,IF(A31='Données projet'!$A$36,'Données projet'!$B$36,N30+M31-V30)))</f>
        <v>166</v>
      </c>
      <c r="O31" s="14">
        <f>N31*VLOOKUP('Données projet'!$B$9,Paramètres!$A$1:$I$89,3,0)*VLOOKUP('Données projet'!$B$9,Paramètres!$A$1:$I$89,5,0)</f>
        <v>99.268000000000001</v>
      </c>
      <c r="P31" s="14">
        <f t="shared" si="33"/>
        <v>26.78753414535981</v>
      </c>
      <c r="Q31" s="22">
        <f t="shared" si="2"/>
        <v>219.54672196983498</v>
      </c>
      <c r="R31" s="62">
        <f t="shared" si="0"/>
        <v>512.88005530316832</v>
      </c>
      <c r="S31" s="62">
        <f ca="1">AVERAGE(OFFSET($R$3,0,0,'Données projet'!$E$9+1,1))-AVERAGE(OFFSET($H$3,0,0,'Données projet'!$E$9+1,1))</f>
        <v>125.50615549487452</v>
      </c>
      <c r="T31" s="62">
        <f t="shared" si="34"/>
        <v>156.05798578195993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38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1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27.52421271525909</v>
      </c>
      <c r="AC31" s="24">
        <f t="shared" si="3"/>
        <v>27.52421271525909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10.5</v>
      </c>
      <c r="N32" s="14">
        <f>IF('Données projet'!$A$36&gt;35,N31+M32-V31,IF(A32&lt;'Données projet'!$A$36,$K$205^A32,IF(A32='Données projet'!$A$36,'Données projet'!$B$36,N31+M32-V31)))</f>
        <v>138.5</v>
      </c>
      <c r="O32" s="14">
        <f>N32*VLOOKUP('Données projet'!$B$9,Paramètres!$A$1:$I$89,3,0)*VLOOKUP('Données projet'!$B$9,Paramètres!$A$1:$I$89,5,0)</f>
        <v>82.823000000000008</v>
      </c>
      <c r="P32" s="14">
        <f t="shared" si="33"/>
        <v>22.826023014899445</v>
      </c>
      <c r="Q32" s="22">
        <f t="shared" si="2"/>
        <v>184.00538175094985</v>
      </c>
      <c r="R32" s="62">
        <f t="shared" si="0"/>
        <v>477.33871508428319</v>
      </c>
      <c r="S32" s="62">
        <f ca="1">AVERAGE(OFFSET($R$3,0,0,'Données projet'!$E$9+1,1))-AVERAGE(OFFSET($H$3,0,0,'Données projet'!$E$9+1,1))</f>
        <v>125.50615549487452</v>
      </c>
      <c r="T32" s="62">
        <f t="shared" si="34"/>
        <v>156.05798578195993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19.462557457780701</v>
      </c>
      <c r="AC32" s="24">
        <f t="shared" si="3"/>
        <v>19.462557457780701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10.5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89.102000000000018</v>
      </c>
      <c r="P33" s="14">
        <f t="shared" si="33"/>
        <v>24.348522781128082</v>
      </c>
      <c r="Q33" s="22">
        <f t="shared" si="2"/>
        <v>197.5929938437981</v>
      </c>
      <c r="R33" s="62">
        <f t="shared" si="0"/>
        <v>490.92632717713138</v>
      </c>
      <c r="S33" s="62">
        <f ca="1">AVERAGE(OFFSET($R$3,0,0,'Données projet'!$E$9+1,1))-AVERAGE(OFFSET($H$3,0,0,'Données projet'!$E$9+1,1))</f>
        <v>125.50615549487452</v>
      </c>
      <c r="T33" s="62">
        <f t="shared" si="34"/>
        <v>156.05798578195993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13.762106357629548</v>
      </c>
      <c r="AC33" s="24">
        <f t="shared" si="3"/>
        <v>13.762106357629548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10.5</v>
      </c>
      <c r="N34" s="14">
        <f>IF('Données projet'!$A$36&gt;35,N33+M34-V33,IF(A34&lt;'Données projet'!$A$36,$K$205^A34,IF(A34='Données projet'!$A$36,'Données projet'!$B$36,N33+M34-V33)))</f>
        <v>159.5</v>
      </c>
      <c r="O34" s="14">
        <f>N34*VLOOKUP('Données projet'!$B$9,Paramètres!$A$1:$I$89,3,0)*VLOOKUP('Données projet'!$B$9,Paramètres!$A$1:$I$89,5,0)</f>
        <v>95.381000000000014</v>
      </c>
      <c r="P34" s="14">
        <f t="shared" si="33"/>
        <v>25.858574171052403</v>
      </c>
      <c r="Q34" s="22">
        <f t="shared" si="2"/>
        <v>211.15892501458293</v>
      </c>
      <c r="R34" s="62">
        <f t="shared" si="0"/>
        <v>504.49225834791628</v>
      </c>
      <c r="S34" s="62">
        <f ca="1">AVERAGE(OFFSET($R$3,0,0,'Données projet'!$E$9+1,1))-AVERAGE(OFFSET($H$3,0,0,'Données projet'!$E$9+1,1))</f>
        <v>125.50615549487452</v>
      </c>
      <c r="T34" s="62">
        <f t="shared" si="34"/>
        <v>156.05798578195993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9.7312787288903522</v>
      </c>
      <c r="AC34" s="24">
        <f t="shared" si="3"/>
        <v>9.7312787288903522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10.5</v>
      </c>
      <c r="N35" s="14">
        <f>IF('Données projet'!$A$36&gt;35,N34+M35-V34,IF(A35&lt;'Données projet'!$A$36,$K$205^A35,IF(A35='Données projet'!$A$36,'Données projet'!$B$36,N34+M35-V34)))</f>
        <v>170</v>
      </c>
      <c r="O35" s="14">
        <f>N35*VLOOKUP('Données projet'!$B$9,Paramètres!$A$1:$I$89,3,0)*VLOOKUP('Données projet'!$B$9,Paramètres!$A$1:$I$89,5,0)</f>
        <v>101.66000000000001</v>
      </c>
      <c r="P35" s="14">
        <f t="shared" si="33"/>
        <v>27.35708992370477</v>
      </c>
      <c r="Q35" s="22">
        <f t="shared" ref="Q35:Q66" si="53">(O35+P35)*0.475*44/12</f>
        <v>224.7047649504525</v>
      </c>
      <c r="R35" s="62">
        <f t="shared" si="0"/>
        <v>518.03809828378576</v>
      </c>
      <c r="S35" s="62">
        <f ca="1">AVERAGE(OFFSET($R$3,0,0,'Données projet'!$E$9+1,1))-AVERAGE(OFFSET($H$3,0,0,'Données projet'!$E$9+1,1))</f>
        <v>125.50615549487452</v>
      </c>
      <c r="T35" s="62">
        <f t="shared" si="34"/>
        <v>156.05798578195993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6.8810531788147751</v>
      </c>
      <c r="AC35" s="24">
        <f t="shared" si="3"/>
        <v>6.8810531788147751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10.5</v>
      </c>
      <c r="N36" s="14">
        <f>IF('Données projet'!$A$36&gt;35,N35+M36-V35,IF(A36&lt;'Données projet'!$A$36,$K$205^A36,IF(A36='Données projet'!$A$36,'Données projet'!$B$36,N35+M36-V35)))</f>
        <v>180.5</v>
      </c>
      <c r="O36" s="14">
        <f>N36*VLOOKUP('Données projet'!$B$9,Paramètres!$A$1:$I$89,3,0)*VLOOKUP('Données projet'!$B$9,Paramètres!$A$1:$I$89,5,0)</f>
        <v>107.93900000000001</v>
      </c>
      <c r="P36" s="14">
        <f t="shared" si="33"/>
        <v>28.844863656164922</v>
      </c>
      <c r="Q36" s="22">
        <f t="shared" si="53"/>
        <v>238.23189586782055</v>
      </c>
      <c r="R36" s="62">
        <f t="shared" si="0"/>
        <v>531.5652292011539</v>
      </c>
      <c r="S36" s="62">
        <f ca="1">AVERAGE(OFFSET($R$3,0,0,'Données projet'!$E$9+1,1))-AVERAGE(OFFSET($H$3,0,0,'Données projet'!$E$9+1,1))</f>
        <v>125.50615549487452</v>
      </c>
      <c r="T36" s="62">
        <f t="shared" si="34"/>
        <v>156.05798578195993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4.865639364445177</v>
      </c>
      <c r="AC36" s="24">
        <f t="shared" si="3"/>
        <v>4.865639364445177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10.5</v>
      </c>
      <c r="N37" s="14">
        <f>IF('Données projet'!$A$36&gt;35,N36+M37-V36,IF(A37&lt;'Données projet'!$A$36,$K$205^A37,IF(A37='Données projet'!$A$36,'Données projet'!$B$36,N36+M37-V36)))</f>
        <v>191</v>
      </c>
      <c r="O37" s="14">
        <f>N37*VLOOKUP('Données projet'!$B$9,Paramètres!$A$1:$I$89,3,0)*VLOOKUP('Données projet'!$B$9,Paramètres!$A$1:$I$89,5,0)</f>
        <v>114.218</v>
      </c>
      <c r="P37" s="14">
        <f t="shared" si="33"/>
        <v>30.322591437735639</v>
      </c>
      <c r="Q37" s="22">
        <f t="shared" si="53"/>
        <v>251.74153008738961</v>
      </c>
      <c r="R37" s="62">
        <f t="shared" si="0"/>
        <v>545.07486342072298</v>
      </c>
      <c r="S37" s="62">
        <f ca="1">AVERAGE(OFFSET($R$3,0,0,'Données projet'!$E$9+1,1))-AVERAGE(OFFSET($H$3,0,0,'Données projet'!$E$9+1,1))</f>
        <v>125.50615549487452</v>
      </c>
      <c r="T37" s="62">
        <f t="shared" si="34"/>
        <v>156.05798578195993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3.440526589407388</v>
      </c>
      <c r="AC37" s="24">
        <f t="shared" si="3"/>
        <v>3.440526589407388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10.5</v>
      </c>
      <c r="N38" s="14">
        <f>IF('Données projet'!$A$36&gt;35,N37+M38-V37,IF(A38&lt;'Données projet'!$A$36,$K$205^A38,IF(A38='Données projet'!$A$36,'Données projet'!$B$36,N37+M38-V37)))</f>
        <v>201.5</v>
      </c>
      <c r="O38" s="14">
        <f>N38*VLOOKUP('Données projet'!$B$9,Paramètres!$A$1:$I$89,3,0)*VLOOKUP('Données projet'!$B$9,Paramètres!$A$1:$I$89,5,0)</f>
        <v>120.497</v>
      </c>
      <c r="P38" s="14">
        <f t="shared" si="33"/>
        <v>31.790888484192322</v>
      </c>
      <c r="Q38" s="22">
        <f t="shared" si="53"/>
        <v>265.23473910996825</v>
      </c>
      <c r="R38" s="62">
        <f t="shared" si="0"/>
        <v>558.56807244330162</v>
      </c>
      <c r="S38" s="62">
        <f ca="1">AVERAGE(OFFSET($R$3,0,0,'Données projet'!$E$9+1,1))-AVERAGE(OFFSET($H$3,0,0,'Données projet'!$E$9+1,1))</f>
        <v>125.50615549487452</v>
      </c>
      <c r="T38" s="62">
        <f t="shared" si="34"/>
        <v>156.05798578195993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2.4328196822225885</v>
      </c>
      <c r="AC38" s="24">
        <f t="shared" si="3"/>
        <v>2.4328196822225885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212</v>
      </c>
      <c r="L39" s="13">
        <f>VLOOKUP(A39,'Données projet'!$A$35:$I$55,9,0)</f>
        <v>10.5</v>
      </c>
      <c r="M39" s="13">
        <f t="array" ref="M39">INDEX(L:L,MIN(IF(ISNUMBER(L39:L235),ROW(L39:L235),"")))</f>
        <v>10.5</v>
      </c>
      <c r="N39" s="14">
        <f>IF('Données projet'!$A$36&gt;35,N38+M39-V38,IF(A39&lt;'Données projet'!$A$36,$K$205^A39,IF(A39='Données projet'!$A$36,'Données projet'!$B$36,N38+M39-V38)))</f>
        <v>212</v>
      </c>
      <c r="O39" s="14">
        <f>N39*VLOOKUP('Données projet'!$B$9,Paramètres!$A$1:$I$89,3,0)*VLOOKUP('Données projet'!$B$9,Paramètres!$A$1:$I$89,5,0)</f>
        <v>126.77600000000002</v>
      </c>
      <c r="P39" s="14">
        <f t="shared" si="33"/>
        <v>33.250302273150254</v>
      </c>
      <c r="Q39" s="22">
        <f t="shared" si="53"/>
        <v>278.7124764590701</v>
      </c>
      <c r="R39" s="62">
        <f t="shared" si="0"/>
        <v>572.04580979240336</v>
      </c>
      <c r="S39" s="62">
        <f ca="1">AVERAGE(OFFSET($R$3,0,0,'Données projet'!$E$9+1,1))-AVERAGE(OFFSET($H$3,0,0,'Données projet'!$E$9+1,1))</f>
        <v>125.50615549487452</v>
      </c>
      <c r="T39" s="62">
        <f t="shared" si="34"/>
        <v>156.05798578195993</v>
      </c>
      <c r="U39" s="16">
        <f>IF(ISNA(VLOOKUP(A39,'Données projet'!$A$35:$I$55,3,0)),0,VLOOKUP(A39,'Données projet'!$A$35:$I$55,3,0))</f>
        <v>3</v>
      </c>
      <c r="V39" s="16">
        <f>IF(ISNA(VLOOKUP(A39,'Données projet'!$A$35:$I$55,4,0)),0,VLOOKUP(A39,'Données projet'!$A$35:$I$55,4,0))</f>
        <v>48</v>
      </c>
      <c r="W39" s="17">
        <f>IF(ISNA(VLOOKUP(A39,'Données projet'!$A$35:$I$55,5,0)),0%,VLOOKUP(A39,'Données projet'!$A$35:$I$55,5,0)*VLOOKUP('Données projet'!$B$9,Paramètres!$A$1:$I$89,7,0))</f>
        <v>0.13500000000000001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0.7</v>
      </c>
      <c r="Z39" s="23">
        <f>EXP(-LN(2)/35)*Z38+(1-EXP(-LN(2)/35))/(LN(2)/35)*V39*W39*VLOOKUP('Données projet'!$B$9,Paramètres!$A$1:$I$89,3,0)*0.475*44/12</f>
        <v>5.1404903274064369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24.469980402443465</v>
      </c>
      <c r="AC39" s="24">
        <f t="shared" si="3"/>
        <v>29.610470729849901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8.4444444444444446</v>
      </c>
      <c r="N40" s="14">
        <f>IF('Données projet'!$A$36&gt;35,N39+M40-V39,IF(A40&lt;'Données projet'!$A$36,$K$205^A40,IF(A40='Données projet'!$A$36,'Données projet'!$B$36,N39+M40-V39)))</f>
        <v>172.44444444444446</v>
      </c>
      <c r="O40" s="14">
        <f>N40*VLOOKUP('Données projet'!$B$9,Paramètres!$A$1:$I$89,3,0)*VLOOKUP('Données projet'!$B$9,Paramètres!$A$1:$I$89,5,0)</f>
        <v>103.12177777777779</v>
      </c>
      <c r="P40" s="14">
        <f t="shared" si="33"/>
        <v>27.704382252023944</v>
      </c>
      <c r="Q40" s="22">
        <f t="shared" si="53"/>
        <v>227.85556205190468</v>
      </c>
      <c r="R40" s="62">
        <f t="shared" si="0"/>
        <v>521.18889538523797</v>
      </c>
      <c r="S40" s="62">
        <f ca="1">AVERAGE(OFFSET($R$3,0,0,'Données projet'!$E$9+1,1))-AVERAGE(OFFSET($H$3,0,0,'Données projet'!$E$9+1,1))</f>
        <v>125.50615549487452</v>
      </c>
      <c r="T40" s="62">
        <f t="shared" si="34"/>
        <v>156.05798578195993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5.0396884474755019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17.302889078069697</v>
      </c>
      <c r="AC40" s="24">
        <f t="shared" si="3"/>
        <v>22.342577525545199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8.4444444444444446</v>
      </c>
      <c r="N41" s="14">
        <f>IF('Données projet'!$A$36&gt;35,N40+M41-V40,IF(A41&lt;'Données projet'!$A$36,$K$205^A41,IF(A41='Données projet'!$A$36,'Données projet'!$B$36,N40+M41-V40)))</f>
        <v>180.88888888888891</v>
      </c>
      <c r="O41" s="14">
        <f>N41*VLOOKUP('Données projet'!$B$9,Paramètres!$A$1:$I$89,3,0)*VLOOKUP('Données projet'!$B$9,Paramètres!$A$1:$I$89,5,0)</f>
        <v>108.17155555555559</v>
      </c>
      <c r="P41" s="14">
        <f t="shared" si="33"/>
        <v>28.899769441693479</v>
      </c>
      <c r="Q41" s="22">
        <f t="shared" si="53"/>
        <v>238.73255770354208</v>
      </c>
      <c r="R41" s="62">
        <f t="shared" si="0"/>
        <v>532.06589103687543</v>
      </c>
      <c r="S41" s="62">
        <f ca="1">AVERAGE(OFFSET($R$3,0,0,'Données projet'!$E$9+1,1))-AVERAGE(OFFSET($H$3,0,0,'Données projet'!$E$9+1,1))</f>
        <v>125.50615549487452</v>
      </c>
      <c r="T41" s="62">
        <f t="shared" si="34"/>
        <v>156.05798578195993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4.9408632309269374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12.234990201221732</v>
      </c>
      <c r="AC41" s="24">
        <f t="shared" si="3"/>
        <v>17.175853432148671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8.4444444444444446</v>
      </c>
      <c r="N42" s="14">
        <f>IF('Données projet'!$A$36&gt;35,N41+M42-V41,IF(A42&lt;'Données projet'!$A$36,$K$205^A42,IF(A42='Données projet'!$A$36,'Données projet'!$B$36,N41+M42-V41)))</f>
        <v>189.33333333333337</v>
      </c>
      <c r="O42" s="14">
        <f>N42*VLOOKUP('Données projet'!$B$9,Paramètres!$A$1:$I$89,3,0)*VLOOKUP('Données projet'!$B$9,Paramètres!$A$1:$I$89,5,0)</f>
        <v>113.22133333333336</v>
      </c>
      <c r="P42" s="14">
        <f t="shared" si="33"/>
        <v>30.088676139987797</v>
      </c>
      <c r="Q42" s="22">
        <f t="shared" si="53"/>
        <v>249.59826649936761</v>
      </c>
      <c r="R42" s="62">
        <f t="shared" si="0"/>
        <v>542.93159983270095</v>
      </c>
      <c r="S42" s="62">
        <f ca="1">AVERAGE(OFFSET($R$3,0,0,'Données projet'!$E$9+1,1))-AVERAGE(OFFSET($H$3,0,0,'Données projet'!$E$9+1,1))</f>
        <v>125.50615549487452</v>
      </c>
      <c r="T42" s="62">
        <f t="shared" si="34"/>
        <v>156.05798578195993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4.8439759165974596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8.6514445390348484</v>
      </c>
      <c r="AC42" s="24">
        <f t="shared" si="3"/>
        <v>13.495420455632308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8.4444444444444446</v>
      </c>
      <c r="N43" s="14">
        <f>IF('Données projet'!$A$36&gt;35,N42+M43-V42,IF(A43&lt;'Données projet'!$A$36,$K$205^A43,IF(A43='Données projet'!$A$36,'Données projet'!$B$36,N42+M43-V42)))</f>
        <v>197.77777777777783</v>
      </c>
      <c r="O43" s="14">
        <f>N43*VLOOKUP('Données projet'!$B$9,Paramètres!$A$1:$I$89,3,0)*VLOOKUP('Données projet'!$B$9,Paramètres!$A$1:$I$89,5,0)</f>
        <v>118.27111111111115</v>
      </c>
      <c r="P43" s="14">
        <f t="shared" si="33"/>
        <v>31.271424408638829</v>
      </c>
      <c r="Q43" s="22">
        <f t="shared" si="53"/>
        <v>260.45324936356457</v>
      </c>
      <c r="R43" s="62">
        <f t="shared" si="0"/>
        <v>553.78658269689788</v>
      </c>
      <c r="S43" s="62">
        <f ca="1">AVERAGE(OFFSET($R$3,0,0,'Données projet'!$E$9+1,1))-AVERAGE(OFFSET($H$3,0,0,'Données projet'!$E$9+1,1))</f>
        <v>125.50615549487452</v>
      </c>
      <c r="T43" s="62">
        <f t="shared" si="34"/>
        <v>156.05798578195993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4.7489885034065562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6.1174951006108662</v>
      </c>
      <c r="AC43" s="24">
        <f t="shared" si="3"/>
        <v>10.866483604017422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8.4444444444444446</v>
      </c>
      <c r="N44" s="14">
        <f>IF('Données projet'!$A$36&gt;35,N43+M44-V43,IF(A44&lt;'Données projet'!$A$36,$K$205^A44,IF(A44='Données projet'!$A$36,'Données projet'!$B$36,N43+M44-V43)))</f>
        <v>206.22222222222229</v>
      </c>
      <c r="O44" s="14">
        <f>N44*VLOOKUP('Données projet'!$B$9,Paramètres!$A$1:$I$89,3,0)*VLOOKUP('Données projet'!$B$9,Paramètres!$A$1:$I$89,5,0)</f>
        <v>123.32088888888894</v>
      </c>
      <c r="P44" s="14">
        <f t="shared" si="33"/>
        <v>32.448307251950084</v>
      </c>
      <c r="Q44" s="22">
        <f t="shared" si="53"/>
        <v>271.29801661196126</v>
      </c>
      <c r="R44" s="62">
        <f t="shared" si="0"/>
        <v>564.63134994529457</v>
      </c>
      <c r="S44" s="62">
        <f ca="1">AVERAGE(OFFSET($R$3,0,0,'Données projet'!$E$9+1,1))-AVERAGE(OFFSET($H$3,0,0,'Données projet'!$E$9+1,1))</f>
        <v>125.50615549487452</v>
      </c>
      <c r="T44" s="62">
        <f t="shared" si="34"/>
        <v>156.05798578195993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4.6558637354517254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4.3257222695174242</v>
      </c>
      <c r="AC44" s="24">
        <f t="shared" si="3"/>
        <v>8.9815860049691487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8.4444444444444446</v>
      </c>
      <c r="N45" s="14">
        <f>IF('Données projet'!$A$36&gt;35,N44+M45-V44,IF(A45&lt;'Données projet'!$A$36,$K$205^A45,IF(A45='Données projet'!$A$36,'Données projet'!$B$36,N44+M45-V44)))</f>
        <v>214.66666666666674</v>
      </c>
      <c r="O45" s="14">
        <f>N45*VLOOKUP('Données projet'!$B$9,Paramètres!$A$1:$I$89,3,0)*VLOOKUP('Données projet'!$B$9,Paramètres!$A$1:$I$89,5,0)</f>
        <v>128.37066666666672</v>
      </c>
      <c r="P45" s="14">
        <f t="shared" si="33"/>
        <v>33.619592320312243</v>
      </c>
      <c r="Q45" s="22">
        <f t="shared" si="53"/>
        <v>282.1330344023217</v>
      </c>
      <c r="R45" s="62">
        <f t="shared" si="0"/>
        <v>575.46636773565501</v>
      </c>
      <c r="S45" s="62">
        <f ca="1">AVERAGE(OFFSET($R$3,0,0,'Données projet'!$E$9+1,1))-AVERAGE(OFFSET($H$3,0,0,'Données projet'!$E$9+1,1))</f>
        <v>125.50615549487452</v>
      </c>
      <c r="T45" s="62">
        <f t="shared" si="34"/>
        <v>156.05798578195993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4.5645650873959891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3.0587475503054331</v>
      </c>
      <c r="AC45" s="24">
        <f t="shared" si="3"/>
        <v>7.6233126377014226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8.4444444444444446</v>
      </c>
      <c r="N46" s="14">
        <f>IF('Données projet'!$A$36&gt;35,N45+M46-V45,IF(A46&lt;'Données projet'!$A$36,$K$205^A46,IF(A46='Données projet'!$A$36,'Données projet'!$B$36,N45+M46-V45)))</f>
        <v>223.1111111111112</v>
      </c>
      <c r="O46" s="14">
        <f>N46*VLOOKUP('Données projet'!$B$9,Paramètres!$A$1:$I$89,3,0)*VLOOKUP('Données projet'!$B$9,Paramètres!$A$1:$I$89,5,0)</f>
        <v>133.42044444444451</v>
      </c>
      <c r="P46" s="14">
        <f t="shared" si="33"/>
        <v>34.785525014573047</v>
      </c>
      <c r="Q46" s="22">
        <f t="shared" si="53"/>
        <v>292.9587301411222</v>
      </c>
      <c r="R46" s="62">
        <f t="shared" si="0"/>
        <v>586.29206347445552</v>
      </c>
      <c r="S46" s="62">
        <f ca="1">AVERAGE(OFFSET($R$3,0,0,'Données projet'!$E$9+1,1))-AVERAGE(OFFSET($H$3,0,0,'Données projet'!$E$9+1,1))</f>
        <v>125.50615549487452</v>
      </c>
      <c r="T46" s="62">
        <f t="shared" si="34"/>
        <v>156.05798578195993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4.4750567501419489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2.1628611347587121</v>
      </c>
      <c r="AC46" s="24">
        <f t="shared" si="3"/>
        <v>6.637917884900661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8.4444444444444446</v>
      </c>
      <c r="N47" s="14">
        <f>IF('Données projet'!$A$36&gt;35,N46+M47-V46,IF(A47&lt;'Données projet'!$A$36,$K$205^A47,IF(A47='Données projet'!$A$36,'Données projet'!$B$36,N46+M47-V46)))</f>
        <v>231.55555555555566</v>
      </c>
      <c r="O47" s="14">
        <f>N47*VLOOKUP('Données projet'!$B$9,Paramètres!$A$1:$I$89,3,0)*VLOOKUP('Données projet'!$B$9,Paramètres!$A$1:$I$89,5,0)</f>
        <v>138.4702222222223</v>
      </c>
      <c r="P47" s="14">
        <f t="shared" si="33"/>
        <v>35.946331107206781</v>
      </c>
      <c r="Q47" s="22">
        <f t="shared" si="53"/>
        <v>303.77549704875565</v>
      </c>
      <c r="R47" s="62">
        <f t="shared" si="0"/>
        <v>597.10883038208897</v>
      </c>
      <c r="S47" s="62">
        <f ca="1">AVERAGE(OFFSET($R$3,0,0,'Données projet'!$E$9+1,1))-AVERAGE(OFFSET($H$3,0,0,'Données projet'!$E$9+1,1))</f>
        <v>125.50615549487452</v>
      </c>
      <c r="T47" s="62">
        <f t="shared" si="34"/>
        <v>156.05798578195993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4.3873036167867658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1.5293737751527166</v>
      </c>
      <c r="AC47" s="24">
        <f t="shared" si="3"/>
        <v>5.9166773919394826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240</v>
      </c>
      <c r="L48" s="13">
        <f>VLOOKUP(A48,'Données projet'!$A$35:$I$55,9,0)</f>
        <v>8.4444444444444446</v>
      </c>
      <c r="M48" s="13">
        <f t="array" ref="M48">INDEX(L:L,MIN(IF(ISNUMBER(L48:L244),ROW(L48:L244),"")))</f>
        <v>8.4444444444444446</v>
      </c>
      <c r="N48" s="14">
        <f>IF('Données projet'!$A$36&gt;35,N47+M48-V47,IF(A48&lt;'Données projet'!$A$36,$K$205^A48,IF(A48='Données projet'!$A$36,'Données projet'!$B$36,N47+M48-V47)))</f>
        <v>240.00000000000011</v>
      </c>
      <c r="O48" s="14">
        <f>N48*VLOOKUP('Données projet'!$B$9,Paramètres!$A$1:$I$89,3,0)*VLOOKUP('Données projet'!$B$9,Paramètres!$A$1:$I$89,5,0)</f>
        <v>143.5200000000001</v>
      </c>
      <c r="P48" s="14">
        <f t="shared" si="33"/>
        <v>37.102218970378601</v>
      </c>
      <c r="Q48" s="22">
        <f t="shared" si="53"/>
        <v>314.58369804007623</v>
      </c>
      <c r="R48" s="62">
        <f t="shared" si="0"/>
        <v>607.9170313734096</v>
      </c>
      <c r="S48" s="62">
        <f ca="1">AVERAGE(OFFSET($R$3,0,0,'Données projet'!$E$9+1,1))-AVERAGE(OFFSET($H$3,0,0,'Données projet'!$E$9+1,1))</f>
        <v>125.50615549487452</v>
      </c>
      <c r="T48" s="62">
        <f t="shared" si="34"/>
        <v>156.05798578195993</v>
      </c>
      <c r="U48" s="16">
        <f>IF(ISNA(VLOOKUP(A48,'Données projet'!$A$35:$I$55,3,0)),0,VLOOKUP(A48,'Données projet'!$A$35:$I$55,3,0))</f>
        <v>4</v>
      </c>
      <c r="V48" s="16">
        <f>IF(ISNA(VLOOKUP(A48,'Données projet'!$A$35:$I$55,4,0)),0,VLOOKUP(A48,'Données projet'!$A$35:$I$55,4,0))</f>
        <v>55</v>
      </c>
      <c r="W48" s="17">
        <f>IF(ISNA(VLOOKUP(A48,'Données projet'!$A$35:$I$55,5,0)),0%,VLOOKUP(A48,'Données projet'!$A$35:$I$55,5,0)*VLOOKUP('Données projet'!$B$9,Paramètres!$A$1:$I$89,7,0))</f>
        <v>0.18000000000000002</v>
      </c>
      <c r="X48" s="17">
        <f>IF(ISNA(VLOOKUP(A48,'Données projet'!$A$35:$I$55,6,0)),0%,VLOOKUP(A48,'Données projet'!$A$35:$I$55,6,0)*VLOOKUP('Données projet'!$B$9,Paramètres!$A$1:$I$89,7,0))</f>
        <v>9.0000000000000011E-2</v>
      </c>
      <c r="Y48" s="17">
        <f>IF(ISNA(VLOOKUP(A48,'Données projet'!$A$35:$I$55,7,0)),0%,VLOOKUP(A48,'Données projet'!$A$35:$I$55,7,0))</f>
        <v>0.4</v>
      </c>
      <c r="Z48" s="23">
        <f>EXP(-LN(2)/35)*Z47+(1-EXP(-LN(2)/35))/(LN(2)/35)*V48*W48*VLOOKUP('Données projet'!$B$9,Paramètres!$A$1:$I$89,3,0)*0.475*44/12</f>
        <v>12.15479815794572</v>
      </c>
      <c r="AA48" s="23">
        <f>EXP(-LN(2)/25)*AA47+(1-EXP(-LN(2)/25))/(LN(2)/25)*Calculateur!V48*Calculateur!X48*VLOOKUP('Données projet'!$B$9,Paramètres!$A$1:$I$89,3,0)*0.475*44/12</f>
        <v>3.9113022806512299</v>
      </c>
      <c r="AB48" s="23">
        <f>EXP(-LN(2)/2)*AB47+(1-EXP(-LN(2)/2))/(LN(2)/2)*V48*Y48*VLOOKUP('Données projet'!$B$9,Paramètres!$A$1:$I$89,3,0)*0.475*44/12</f>
        <v>15.977078673637543</v>
      </c>
      <c r="AC48" s="24">
        <f t="shared" si="3"/>
        <v>32.043179112234498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6.2</v>
      </c>
      <c r="N49" s="14">
        <f>IF('Données projet'!$A$36&gt;35,N48+M49-V48,IF(A49&lt;'Données projet'!$A$36,$K$205^A49,IF(A49='Données projet'!$A$36,'Données projet'!$B$36,N48+M49-V48)))</f>
        <v>191.2000000000001</v>
      </c>
      <c r="O49" s="14">
        <f>N49*VLOOKUP('Données projet'!$B$9,Paramètres!$A$1:$I$89,3,0)*VLOOKUP('Données projet'!$B$9,Paramètres!$A$1:$I$89,5,0)</f>
        <v>114.33760000000008</v>
      </c>
      <c r="P49" s="14">
        <f t="shared" si="33"/>
        <v>30.350645269775214</v>
      </c>
      <c r="Q49" s="22">
        <f t="shared" si="53"/>
        <v>251.99869384485862</v>
      </c>
      <c r="R49" s="62">
        <f t="shared" si="0"/>
        <v>545.33202717819199</v>
      </c>
      <c r="S49" s="62">
        <f ca="1">AVERAGE(OFFSET($R$3,0,0,'Données projet'!$E$9+1,1))-AVERAGE(OFFSET($H$3,0,0,'Données projet'!$E$9+1,1))</f>
        <v>125.50615549487452</v>
      </c>
      <c r="T49" s="62">
        <f t="shared" si="34"/>
        <v>156.05798578195993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11.916449979763239</v>
      </c>
      <c r="AA49" s="23">
        <f>EXP(-LN(2)/25)*AA48+(1-EXP(-LN(2)/25))/(LN(2)/25)*Calculateur!V49*Calculateur!X49*VLOOKUP('Données projet'!$B$9,Paramètres!$A$1:$I$89,3,0)*0.475*44/12</f>
        <v>3.8043475141003746</v>
      </c>
      <c r="AB49" s="23">
        <f>EXP(-LN(2)/2)*AB48+(1-EXP(-LN(2)/2))/(LN(2)/2)*V49*Y49*VLOOKUP('Données projet'!$B$9,Paramètres!$A$1:$I$89,3,0)*0.475*44/12</f>
        <v>11.297500673680078</v>
      </c>
      <c r="AC49" s="24">
        <f t="shared" si="3"/>
        <v>27.018298167543691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6.2</v>
      </c>
      <c r="N50" s="14">
        <f>IF('Données projet'!$A$36&gt;35,N49+M50-V49,IF(A50&lt;'Données projet'!$A$36,$K$205^A50,IF(A50='Données projet'!$A$36,'Données projet'!$B$36,N49+M50-V49)))</f>
        <v>197.40000000000009</v>
      </c>
      <c r="O50" s="14">
        <f>N50*VLOOKUP('Données projet'!$B$9,Paramètres!$A$1:$I$89,3,0)*VLOOKUP('Données projet'!$B$9,Paramètres!$A$1:$I$89,5,0)</f>
        <v>118.04520000000007</v>
      </c>
      <c r="P50" s="14">
        <f t="shared" si="33"/>
        <v>31.218639399969017</v>
      </c>
      <c r="Q50" s="22">
        <f t="shared" si="53"/>
        <v>259.96785362161279</v>
      </c>
      <c r="R50" s="62">
        <f t="shared" si="0"/>
        <v>553.30118695494616</v>
      </c>
      <c r="S50" s="62">
        <f ca="1">AVERAGE(OFFSET($R$3,0,0,'Données projet'!$E$9+1,1))-AVERAGE(OFFSET($H$3,0,0,'Données projet'!$E$9+1,1))</f>
        <v>125.50615549487452</v>
      </c>
      <c r="T50" s="62">
        <f t="shared" si="34"/>
        <v>156.05798578195993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11.682775663976884</v>
      </c>
      <c r="AA50" s="23">
        <f>EXP(-LN(2)/25)*AA49+(1-EXP(-LN(2)/25))/(LN(2)/25)*Calculateur!V50*Calculateur!X50*VLOOKUP('Données projet'!$B$9,Paramètres!$A$1:$I$89,3,0)*0.475*44/12</f>
        <v>3.7003174312653591</v>
      </c>
      <c r="AB50" s="23">
        <f>EXP(-LN(2)/2)*AB49+(1-EXP(-LN(2)/2))/(LN(2)/2)*V50*Y50*VLOOKUP('Données projet'!$B$9,Paramètres!$A$1:$I$89,3,0)*0.475*44/12</f>
        <v>7.9885393368187732</v>
      </c>
      <c r="AC50" s="24">
        <f t="shared" si="3"/>
        <v>23.371632432061016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6.2</v>
      </c>
      <c r="N51" s="14">
        <f>IF('Données projet'!$A$36&gt;35,N50+M51-V50,IF(A51&lt;'Données projet'!$A$36,$K$205^A51,IF(A51='Données projet'!$A$36,'Données projet'!$B$36,N50+M51-V50)))</f>
        <v>203.60000000000008</v>
      </c>
      <c r="O51" s="14">
        <f>N51*VLOOKUP('Données projet'!$B$9,Paramètres!$A$1:$I$89,3,0)*VLOOKUP('Données projet'!$B$9,Paramètres!$A$1:$I$89,5,0)</f>
        <v>121.75280000000005</v>
      </c>
      <c r="P51" s="14">
        <f t="shared" si="33"/>
        <v>32.083465450282908</v>
      </c>
      <c r="Q51" s="22">
        <f t="shared" si="53"/>
        <v>267.93149565924278</v>
      </c>
      <c r="R51" s="62">
        <f t="shared" si="0"/>
        <v>561.2648289925761</v>
      </c>
      <c r="S51" s="62">
        <f ca="1">AVERAGE(OFFSET($R$3,0,0,'Données projet'!$E$9+1,1))-AVERAGE(OFFSET($H$3,0,0,'Données projet'!$E$9+1,1))</f>
        <v>125.50615549487452</v>
      </c>
      <c r="T51" s="62">
        <f t="shared" si="34"/>
        <v>156.05798578195993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11.453683558995838</v>
      </c>
      <c r="AA51" s="23">
        <f>EXP(-LN(2)/25)*AA50+(1-EXP(-LN(2)/25))/(LN(2)/25)*Calculateur!V51*Calculateur!X51*VLOOKUP('Données projet'!$B$9,Paramètres!$A$1:$I$89,3,0)*0.475*44/12</f>
        <v>3.5991320565161713</v>
      </c>
      <c r="AB51" s="23">
        <f>EXP(-LN(2)/2)*AB50+(1-EXP(-LN(2)/2))/(LN(2)/2)*V51*Y51*VLOOKUP('Données projet'!$B$9,Paramètres!$A$1:$I$89,3,0)*0.475*44/12</f>
        <v>5.64875033684004</v>
      </c>
      <c r="AC51" s="24">
        <f t="shared" si="3"/>
        <v>20.701565952352048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6.2</v>
      </c>
      <c r="N52" s="14">
        <f>IF('Données projet'!$A$36&gt;35,N51+M52-V51,IF(A52&lt;'Données projet'!$A$36,$K$205^A52,IF(A52='Données projet'!$A$36,'Données projet'!$B$36,N51+M52-V51)))</f>
        <v>209.80000000000007</v>
      </c>
      <c r="O52" s="14">
        <f>N52*VLOOKUP('Données projet'!$B$9,Paramètres!$A$1:$I$89,3,0)*VLOOKUP('Données projet'!$B$9,Paramètres!$A$1:$I$89,5,0)</f>
        <v>125.46040000000005</v>
      </c>
      <c r="P52" s="14">
        <f t="shared" si="33"/>
        <v>32.94523096728588</v>
      </c>
      <c r="Q52" s="22">
        <f t="shared" si="53"/>
        <v>275.88980726802299</v>
      </c>
      <c r="R52" s="62">
        <f t="shared" si="0"/>
        <v>569.22314060135636</v>
      </c>
      <c r="S52" s="62">
        <f ca="1">AVERAGE(OFFSET($R$3,0,0,'Données projet'!$E$9+1,1))-AVERAGE(OFFSET($H$3,0,0,'Données projet'!$E$9+1,1))</f>
        <v>125.50615549487452</v>
      </c>
      <c r="T52" s="62">
        <f t="shared" si="34"/>
        <v>156.05798578195993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11.229083810461084</v>
      </c>
      <c r="AA52" s="23">
        <f>EXP(-LN(2)/25)*AA51+(1-EXP(-LN(2)/25))/(LN(2)/25)*Calculateur!V52*Calculateur!X52*VLOOKUP('Données projet'!$B$9,Paramètres!$A$1:$I$89,3,0)*0.475*44/12</f>
        <v>3.5007136011606077</v>
      </c>
      <c r="AB52" s="23">
        <f>EXP(-LN(2)/2)*AB51+(1-EXP(-LN(2)/2))/(LN(2)/2)*V52*Y52*VLOOKUP('Données projet'!$B$9,Paramètres!$A$1:$I$89,3,0)*0.475*44/12</f>
        <v>3.994269668409387</v>
      </c>
      <c r="AC52" s="24">
        <f t="shared" si="3"/>
        <v>18.72406708003108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6.2</v>
      </c>
      <c r="N53" s="14">
        <f>IF('Données projet'!$A$36&gt;35,N52+M53-V52,IF(A53&lt;'Données projet'!$A$36,$K$205^A53,IF(A53='Données projet'!$A$36,'Données projet'!$B$36,N52+M53-V52)))</f>
        <v>216.00000000000006</v>
      </c>
      <c r="O53" s="14">
        <f>N53*VLOOKUP('Données projet'!$B$9,Paramètres!$A$1:$I$89,3,0)*VLOOKUP('Données projet'!$B$9,Paramètres!$A$1:$I$89,5,0)</f>
        <v>129.16800000000003</v>
      </c>
      <c r="P53" s="14">
        <f t="shared" si="33"/>
        <v>33.804036779774435</v>
      </c>
      <c r="Q53" s="22">
        <f t="shared" si="53"/>
        <v>283.84296405810721</v>
      </c>
      <c r="R53" s="62">
        <f t="shared" si="0"/>
        <v>577.17629739144058</v>
      </c>
      <c r="S53" s="62">
        <f ca="1">AVERAGE(OFFSET($R$3,0,0,'Données projet'!$E$9+1,1))-AVERAGE(OFFSET($H$3,0,0,'Données projet'!$E$9+1,1))</f>
        <v>125.50615549487452</v>
      </c>
      <c r="T53" s="62">
        <f t="shared" si="34"/>
        <v>156.05798578195993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11.008888326002777</v>
      </c>
      <c r="AA53" s="23">
        <f>EXP(-LN(2)/25)*AA52+(1-EXP(-LN(2)/25))/(LN(2)/25)*Calculateur!V53*Calculateur!X53*VLOOKUP('Données projet'!$B$9,Paramètres!$A$1:$I$89,3,0)*0.475*44/12</f>
        <v>3.4049864036423436</v>
      </c>
      <c r="AB53" s="23">
        <f>EXP(-LN(2)/2)*AB52+(1-EXP(-LN(2)/2))/(LN(2)/2)*V53*Y53*VLOOKUP('Données projet'!$B$9,Paramètres!$A$1:$I$89,3,0)*0.475*44/12</f>
        <v>2.8243751684200205</v>
      </c>
      <c r="AC53" s="24">
        <f t="shared" si="3"/>
        <v>17.238249898065142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</v>
      </c>
      <c r="N54" s="14">
        <f>IF('Données projet'!$A$36&gt;35,N53+M54-V53,IF(A54&lt;'Données projet'!$A$36,$K$205^A54,IF(A54='Données projet'!$A$36,'Données projet'!$B$36,N53+M54-V53)))</f>
        <v>222.20000000000005</v>
      </c>
      <c r="O54" s="14">
        <f>N54*VLOOKUP('Données projet'!$B$9,Paramètres!$A$1:$I$89,3,0)*VLOOKUP('Données projet'!$B$9,Paramètres!$A$1:$I$89,5,0)</f>
        <v>132.87560000000005</v>
      </c>
      <c r="P54" s="14">
        <f t="shared" si="33"/>
        <v>34.659977599024245</v>
      </c>
      <c r="Q54" s="22">
        <f t="shared" si="53"/>
        <v>291.79113098496731</v>
      </c>
      <c r="R54" s="62">
        <f t="shared" si="0"/>
        <v>585.12446431830062</v>
      </c>
      <c r="S54" s="62">
        <f ca="1">AVERAGE(OFFSET($R$3,0,0,'Données projet'!$E$9+1,1))-AVERAGE(OFFSET($H$3,0,0,'Données projet'!$E$9+1,1))</f>
        <v>125.50615549487452</v>
      </c>
      <c r="T54" s="62">
        <f t="shared" si="34"/>
        <v>156.05798578195993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10.793010740688715</v>
      </c>
      <c r="AA54" s="23">
        <f>EXP(-LN(2)/25)*AA53+(1-EXP(-LN(2)/25))/(LN(2)/25)*Calculateur!V54*Calculateur!X54*VLOOKUP('Données projet'!$B$9,Paramètres!$A$1:$I$89,3,0)*0.475*44/12</f>
        <v>3.3118768713742908</v>
      </c>
      <c r="AB54" s="23">
        <f>EXP(-LN(2)/2)*AB53+(1-EXP(-LN(2)/2))/(LN(2)/2)*V54*Y54*VLOOKUP('Données projet'!$B$9,Paramètres!$A$1:$I$89,3,0)*0.475*44/12</f>
        <v>1.997134834204694</v>
      </c>
      <c r="AC54" s="24">
        <f t="shared" si="3"/>
        <v>16.1020224462677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</v>
      </c>
      <c r="N55" s="14">
        <f>IF('Données projet'!$A$36&gt;35,N54+M55-V54,IF(A55&lt;'Données projet'!$A$36,$K$205^A55,IF(A55='Données projet'!$A$36,'Données projet'!$B$36,N54+M55-V54)))</f>
        <v>228.40000000000003</v>
      </c>
      <c r="O55" s="14">
        <f>N55*VLOOKUP('Données projet'!$B$9,Paramètres!$A$1:$I$89,3,0)*VLOOKUP('Données projet'!$B$9,Paramètres!$A$1:$I$89,5,0)</f>
        <v>136.58320000000003</v>
      </c>
      <c r="P55" s="14">
        <f t="shared" si="33"/>
        <v>35.513142550162883</v>
      </c>
      <c r="Q55" s="22">
        <f t="shared" si="53"/>
        <v>299.7344632748671</v>
      </c>
      <c r="R55" s="62">
        <f t="shared" si="0"/>
        <v>593.06779660820041</v>
      </c>
      <c r="S55" s="62">
        <f ca="1">AVERAGE(OFFSET($R$3,0,0,'Données projet'!$E$9+1,1))-AVERAGE(OFFSET($H$3,0,0,'Données projet'!$E$9+1,1))</f>
        <v>125.50615549487452</v>
      </c>
      <c r="T55" s="62">
        <f t="shared" si="34"/>
        <v>156.05798578195993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10.581366383150336</v>
      </c>
      <c r="AA55" s="23">
        <f>EXP(-LN(2)/25)*AA54+(1-EXP(-LN(2)/25))/(LN(2)/25)*Calculateur!V55*Calculateur!X55*VLOOKUP('Données projet'!$B$9,Paramètres!$A$1:$I$89,3,0)*0.475*44/12</f>
        <v>3.2213134241625254</v>
      </c>
      <c r="AB55" s="23">
        <f>EXP(-LN(2)/2)*AB54+(1-EXP(-LN(2)/2))/(LN(2)/2)*V55*Y55*VLOOKUP('Données projet'!$B$9,Paramètres!$A$1:$I$89,3,0)*0.475*44/12</f>
        <v>1.4121875842100104</v>
      </c>
      <c r="AC55" s="24">
        <f t="shared" si="3"/>
        <v>15.214867391522873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</v>
      </c>
      <c r="N56" s="14">
        <f>IF('Données projet'!$A$36&gt;35,N55+M56-V55,IF(A56&lt;'Données projet'!$A$36,$K$205^A56,IF(A56='Données projet'!$A$36,'Données projet'!$B$36,N55+M56-V55)))</f>
        <v>234.60000000000002</v>
      </c>
      <c r="O56" s="14">
        <f>N56*VLOOKUP('Données projet'!$B$9,Paramètres!$A$1:$I$89,3,0)*VLOOKUP('Données projet'!$B$9,Paramètres!$A$1:$I$89,5,0)</f>
        <v>140.29080000000002</v>
      </c>
      <c r="P56" s="14">
        <f t="shared" si="33"/>
        <v>36.363615644223728</v>
      </c>
      <c r="Q56" s="22">
        <f t="shared" si="53"/>
        <v>307.67310724702298</v>
      </c>
      <c r="R56" s="62">
        <f t="shared" si="0"/>
        <v>601.0064405803563</v>
      </c>
      <c r="S56" s="62">
        <f ca="1">AVERAGE(OFFSET($R$3,0,0,'Données projet'!$E$9+1,1))-AVERAGE(OFFSET($H$3,0,0,'Données projet'!$E$9+1,1))</f>
        <v>125.50615549487452</v>
      </c>
      <c r="T56" s="62">
        <f t="shared" si="34"/>
        <v>156.05798578195993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10.373872242372972</v>
      </c>
      <c r="AA56" s="23">
        <f>EXP(-LN(2)/25)*AA55+(1-EXP(-LN(2)/25))/(LN(2)/25)*Calculateur!V56*Calculateur!X56*VLOOKUP('Données projet'!$B$9,Paramètres!$A$1:$I$89,3,0)*0.475*44/12</f>
        <v>3.1332264391772906</v>
      </c>
      <c r="AB56" s="23">
        <f>EXP(-LN(2)/2)*AB55+(1-EXP(-LN(2)/2))/(LN(2)/2)*V56*Y56*VLOOKUP('Données projet'!$B$9,Paramètres!$A$1:$I$89,3,0)*0.475*44/12</f>
        <v>0.99856741710234709</v>
      </c>
      <c r="AC56" s="24">
        <f t="shared" si="3"/>
        <v>14.505666098652609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</v>
      </c>
      <c r="N57" s="14">
        <f>IF('Données projet'!$A$36&gt;35,N56+M57-V56,IF(A57&lt;'Données projet'!$A$36,$K$205^A57,IF(A57='Données projet'!$A$36,'Données projet'!$B$36,N56+M57-V56)))</f>
        <v>240.8</v>
      </c>
      <c r="O57" s="14">
        <f>N57*VLOOKUP('Données projet'!$B$9,Paramètres!$A$1:$I$89,3,0)*VLOOKUP('Données projet'!$B$9,Paramètres!$A$1:$I$89,5,0)</f>
        <v>143.99840000000003</v>
      </c>
      <c r="P57" s="14">
        <f t="shared" si="33"/>
        <v>37.21147619889382</v>
      </c>
      <c r="Q57" s="22">
        <f t="shared" si="53"/>
        <v>315.60720104640683</v>
      </c>
      <c r="R57" s="62">
        <f t="shared" si="0"/>
        <v>608.94053437974014</v>
      </c>
      <c r="S57" s="62">
        <f ca="1">AVERAGE(OFFSET($R$3,0,0,'Données projet'!$E$9+1,1))-AVERAGE(OFFSET($H$3,0,0,'Données projet'!$E$9+1,1))</f>
        <v>125.50615549487452</v>
      </c>
      <c r="T57" s="62">
        <f t="shared" si="34"/>
        <v>156.05798578195993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10.170446935137322</v>
      </c>
      <c r="AA57" s="23">
        <f>EXP(-LN(2)/25)*AA56+(1-EXP(-LN(2)/25))/(LN(2)/25)*Calculateur!V57*Calculateur!X57*VLOOKUP('Données projet'!$B$9,Paramètres!$A$1:$I$89,3,0)*0.475*44/12</f>
        <v>3.0475481974287701</v>
      </c>
      <c r="AB57" s="23">
        <f>EXP(-LN(2)/2)*AB56+(1-EXP(-LN(2)/2))/(LN(2)/2)*V57*Y57*VLOOKUP('Données projet'!$B$9,Paramètres!$A$1:$I$89,3,0)*0.475*44/12</f>
        <v>0.70609379210500534</v>
      </c>
      <c r="AC57" s="24">
        <f t="shared" si="3"/>
        <v>13.924088924671096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247</v>
      </c>
      <c r="L58" s="13">
        <f>VLOOKUP(A58,'Données projet'!$A$35:$I$55,9,0)</f>
        <v>6.2</v>
      </c>
      <c r="M58" s="13">
        <f t="array" ref="M58">INDEX(L:L,MIN(IF(ISNUMBER(L58:L254),ROW(L58:L254),"")))</f>
        <v>6.2</v>
      </c>
      <c r="N58" s="14">
        <f>IF('Données projet'!$A$36&gt;35,N57+M58-V57,IF(A58&lt;'Données projet'!$A$36,$K$205^A58,IF(A58='Données projet'!$A$36,'Données projet'!$B$36,N57+M58-V57)))</f>
        <v>247</v>
      </c>
      <c r="O58" s="14">
        <f>N58*VLOOKUP('Données projet'!$B$9,Paramètres!$A$1:$I$89,3,0)*VLOOKUP('Données projet'!$B$9,Paramètres!$A$1:$I$89,5,0)</f>
        <v>147.70600000000002</v>
      </c>
      <c r="P58" s="14">
        <f t="shared" si="33"/>
        <v>38.056799214709841</v>
      </c>
      <c r="Q58" s="22">
        <f t="shared" si="53"/>
        <v>323.53687529895296</v>
      </c>
      <c r="R58" s="62">
        <f t="shared" si="0"/>
        <v>616.87020863228622</v>
      </c>
      <c r="S58" s="62">
        <f ca="1">AVERAGE(OFFSET($R$3,0,0,'Données projet'!$E$9+1,1))-AVERAGE(OFFSET($H$3,0,0,'Données projet'!$E$9+1,1))</f>
        <v>125.50615549487452</v>
      </c>
      <c r="T58" s="62">
        <f t="shared" si="34"/>
        <v>156.05798578195993</v>
      </c>
      <c r="U58" s="16">
        <f>IF(ISNA(VLOOKUP(A58,'Données projet'!$A$35:$I$55,3,0)),0,VLOOKUP(A58,'Données projet'!$A$35:$I$55,3,0))</f>
        <v>5</v>
      </c>
      <c r="V58" s="16">
        <f>IF(ISNA(VLOOKUP(A58,'Données projet'!$A$35:$I$55,4,0)),0,VLOOKUP(A58,'Données projet'!$A$35:$I$55,4,0))</f>
        <v>247</v>
      </c>
      <c r="W58" s="17">
        <f>IF(ISNA(VLOOKUP(A58,'Données projet'!$A$35:$I$55,5,0)),0%,VLOOKUP(A58,'Données projet'!$A$35:$I$55,5,0)*VLOOKUP('Données projet'!$B$9,Paramètres!$A$1:$I$89,7,0))</f>
        <v>0.315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0.3</v>
      </c>
      <c r="Z58" s="23">
        <f>EXP(-LN(2)/35)*Z57+(1-EXP(-LN(2)/35))/(LN(2)/35)*V58*W58*VLOOKUP('Données projet'!$B$9,Paramètres!$A$1:$I$89,3,0)*0.475*44/12</f>
        <v>71.692592452472482</v>
      </c>
      <c r="AA58" s="23">
        <f>EXP(-LN(2)/25)*AA57+(1-EXP(-LN(2)/25))/(LN(2)/25)*Calculateur!V58*Calculateur!X58*VLOOKUP('Données projet'!$B$9,Paramètres!$A$1:$I$89,3,0)*0.475*44/12</f>
        <v>2.9642128317064862</v>
      </c>
      <c r="AB58" s="23">
        <f>EXP(-LN(2)/2)*AB57+(1-EXP(-LN(2)/2))/(LN(2)/2)*V58*Y58*VLOOKUP('Données projet'!$B$9,Paramètres!$A$1:$I$89,3,0)*0.475*44/12</f>
        <v>50.670534830084428</v>
      </c>
      <c r="AC58" s="24">
        <f t="shared" si="3"/>
        <v>125.32734011426339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125.50615549487452</v>
      </c>
      <c r="T59" s="62">
        <f t="shared" si="34"/>
        <v>156.05798578195993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70.286744442643098</v>
      </c>
      <c r="AA59" s="23">
        <f>EXP(-LN(2)/25)*AA58+(1-EXP(-LN(2)/25))/(LN(2)/25)*Calculateur!V59*Calculateur!X59*VLOOKUP('Données projet'!$B$9,Paramètres!$A$1:$I$89,3,0)*0.475*44/12</f>
        <v>2.8831562759422944</v>
      </c>
      <c r="AB59" s="23">
        <f>EXP(-LN(2)/2)*AB58+(1-EXP(-LN(2)/2))/(LN(2)/2)*V59*Y59*VLOOKUP('Données projet'!$B$9,Paramètres!$A$1:$I$89,3,0)*0.475*44/12</f>
        <v>35.829478784701848</v>
      </c>
      <c r="AC59" s="24">
        <f t="shared" si="3"/>
        <v>108.99937950328724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125.50615549487452</v>
      </c>
      <c r="T60" s="62">
        <f t="shared" si="34"/>
        <v>156.05798578195993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68.908464254803846</v>
      </c>
      <c r="AA60" s="23">
        <f>EXP(-LN(2)/25)*AA59+(1-EXP(-LN(2)/25))/(LN(2)/25)*Calculateur!V60*Calculateur!X60*VLOOKUP('Données projet'!$B$9,Paramètres!$A$1:$I$89,3,0)*0.475*44/12</f>
        <v>2.8043162159580532</v>
      </c>
      <c r="AB60" s="23">
        <f>EXP(-LN(2)/2)*AB59+(1-EXP(-LN(2)/2))/(LN(2)/2)*V60*Y60*VLOOKUP('Données projet'!$B$9,Paramètres!$A$1:$I$89,3,0)*0.475*44/12</f>
        <v>25.335267415042217</v>
      </c>
      <c r="AC60" s="24">
        <f t="shared" si="3"/>
        <v>97.048047885804124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125.50615549487452</v>
      </c>
      <c r="T61" s="62">
        <f t="shared" si="34"/>
        <v>156.05798578195993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67.557211300780224</v>
      </c>
      <c r="AA61" s="23">
        <f>EXP(-LN(2)/25)*AA60+(1-EXP(-LN(2)/25))/(LN(2)/25)*Calculateur!V61*Calculateur!X61*VLOOKUP('Données projet'!$B$9,Paramètres!$A$1:$I$89,3,0)*0.475*44/12</f>
        <v>2.7276320415600996</v>
      </c>
      <c r="AB61" s="23">
        <f>EXP(-LN(2)/2)*AB60+(1-EXP(-LN(2)/2))/(LN(2)/2)*V61*Y61*VLOOKUP('Données projet'!$B$9,Paramètres!$A$1:$I$89,3,0)*0.475*44/12</f>
        <v>17.914739392350928</v>
      </c>
      <c r="AC61" s="24">
        <f t="shared" si="3"/>
        <v>88.199582734691248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125.50615549487452</v>
      </c>
      <c r="T62" s="62">
        <f t="shared" si="34"/>
        <v>156.05798578195993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66.232455593002086</v>
      </c>
      <c r="AA62" s="23">
        <f>EXP(-LN(2)/25)*AA61+(1-EXP(-LN(2)/25))/(LN(2)/25)*Calculateur!V62*Calculateur!X62*VLOOKUP('Données projet'!$B$9,Paramètres!$A$1:$I$89,3,0)*0.475*44/12</f>
        <v>2.6530447999437037</v>
      </c>
      <c r="AB62" s="23">
        <f>EXP(-LN(2)/2)*AB61+(1-EXP(-LN(2)/2))/(LN(2)/2)*V62*Y62*VLOOKUP('Données projet'!$B$9,Paramètres!$A$1:$I$89,3,0)*0.475*44/12</f>
        <v>12.667633707521112</v>
      </c>
      <c r="AC62" s="24">
        <f t="shared" si="3"/>
        <v>81.553134100466906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125.50615549487452</v>
      </c>
      <c r="T63" s="62">
        <f t="shared" si="34"/>
        <v>156.05798578195993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64.933677536632274</v>
      </c>
      <c r="AA63" s="23">
        <f>EXP(-LN(2)/25)*AA62+(1-EXP(-LN(2)/25))/(LN(2)/25)*Calculateur!V63*Calculateur!X63*VLOOKUP('Données projet'!$B$9,Paramètres!$A$1:$I$89,3,0)*0.475*44/12</f>
        <v>2.5804971503716807</v>
      </c>
      <c r="AB63" s="23">
        <f>EXP(-LN(2)/2)*AB62+(1-EXP(-LN(2)/2))/(LN(2)/2)*V63*Y63*VLOOKUP('Données projet'!$B$9,Paramètres!$A$1:$I$89,3,0)*0.475*44/12</f>
        <v>8.9573696961754656</v>
      </c>
      <c r="AC63" s="24">
        <f t="shared" si="3"/>
        <v>76.47154438317942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125.50615549487452</v>
      </c>
      <c r="T64" s="62">
        <f t="shared" si="34"/>
        <v>156.05798578195993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63.660367725771479</v>
      </c>
      <c r="AA64" s="23">
        <f>EXP(-LN(2)/25)*AA63+(1-EXP(-LN(2)/25))/(LN(2)/25)*Calculateur!V64*Calculateur!X64*VLOOKUP('Données projet'!$B$9,Paramètres!$A$1:$I$89,3,0)*0.475*44/12</f>
        <v>2.50993332009232</v>
      </c>
      <c r="AB64" s="23">
        <f>EXP(-LN(2)/2)*AB63+(1-EXP(-LN(2)/2))/(LN(2)/2)*V64*Y64*VLOOKUP('Données projet'!$B$9,Paramètres!$A$1:$I$89,3,0)*0.475*44/12</f>
        <v>6.333816853760557</v>
      </c>
      <c r="AC64" s="24">
        <f t="shared" si="3"/>
        <v>72.504117899624347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125.50615549487452</v>
      </c>
      <c r="T65" s="62">
        <f t="shared" si="34"/>
        <v>156.05798578195993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62.412026743659368</v>
      </c>
      <c r="AA65" s="23">
        <f>EXP(-LN(2)/25)*AA64+(1-EXP(-LN(2)/25))/(LN(2)/25)*Calculateur!V65*Calculateur!X65*VLOOKUP('Données projet'!$B$9,Paramètres!$A$1:$I$89,3,0)*0.475*44/12</f>
        <v>2.4412990614627388</v>
      </c>
      <c r="AB65" s="23">
        <f>EXP(-LN(2)/2)*AB64+(1-EXP(-LN(2)/2))/(LN(2)/2)*V65*Y65*VLOOKUP('Données projet'!$B$9,Paramètres!$A$1:$I$89,3,0)*0.475*44/12</f>
        <v>4.4786848480877337</v>
      </c>
      <c r="AC65" s="24">
        <f t="shared" si="3"/>
        <v>69.332010653209849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125.50615549487452</v>
      </c>
      <c r="T66" s="62">
        <f t="shared" si="34"/>
        <v>156.05798578195993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61.188164966793657</v>
      </c>
      <c r="AA66" s="23">
        <f>EXP(-LN(2)/25)*AA65+(1-EXP(-LN(2)/25))/(LN(2)/25)*Calculateur!V66*Calculateur!X66*VLOOKUP('Données projet'!$B$9,Paramètres!$A$1:$I$89,3,0)*0.475*44/12</f>
        <v>2.3745416102447021</v>
      </c>
      <c r="AB66" s="23">
        <f>EXP(-LN(2)/2)*AB65+(1-EXP(-LN(2)/2))/(LN(2)/2)*V66*Y66*VLOOKUP('Données projet'!$B$9,Paramètres!$A$1:$I$89,3,0)*0.475*44/12</f>
        <v>3.166908426880279</v>
      </c>
      <c r="AC66" s="24">
        <f t="shared" si="3"/>
        <v>66.729615003918639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125.50615549487452</v>
      </c>
      <c r="T67" s="62">
        <f t="shared" si="34"/>
        <v>156.05798578195993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59.98830237289031</v>
      </c>
      <c r="AA67" s="23">
        <f>EXP(-LN(2)/25)*AA66+(1-EXP(-LN(2)/25))/(LN(2)/25)*Calculateur!V67*Calculateur!X67*VLOOKUP('Données projet'!$B$9,Paramètres!$A$1:$I$89,3,0)*0.475*44/12</f>
        <v>2.3096096450408448</v>
      </c>
      <c r="AB67" s="23">
        <f>EXP(-LN(2)/2)*AB66+(1-EXP(-LN(2)/2))/(LN(2)/2)*V67*Y67*VLOOKUP('Données projet'!$B$9,Paramètres!$A$1:$I$89,3,0)*0.475*44/12</f>
        <v>2.2393424240438669</v>
      </c>
      <c r="AC67" s="24">
        <f t="shared" si="3"/>
        <v>64.537254441975023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125.50615549487452</v>
      </c>
      <c r="T68" s="62">
        <f t="shared" si="34"/>
        <v>156.05798578195993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58.81196835260949</v>
      </c>
      <c r="AA68" s="23">
        <f>EXP(-LN(2)/25)*AA67+(1-EXP(-LN(2)/25))/(LN(2)/25)*Calculateur!V68*Calculateur!X68*VLOOKUP('Données projet'!$B$9,Paramètres!$A$1:$I$89,3,0)*0.475*44/12</f>
        <v>2.2464532478401105</v>
      </c>
      <c r="AB68" s="23">
        <f>EXP(-LN(2)/2)*AB67+(1-EXP(-LN(2)/2))/(LN(2)/2)*V68*Y68*VLOOKUP('Données projet'!$B$9,Paramètres!$A$1:$I$89,3,0)*0.475*44/12</f>
        <v>1.5834542134401395</v>
      </c>
      <c r="AC68" s="24">
        <f t="shared" ref="AC68:AC131" si="57">SUM(Z68:AB68)</f>
        <v>62.64187581388974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125.50615549487452</v>
      </c>
      <c r="T69" s="62">
        <f t="shared" ref="T69:T132" si="88">$T$3</f>
        <v>156.05798578195993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57.658701524973473</v>
      </c>
      <c r="AA69" s="23">
        <f>EXP(-LN(2)/25)*AA68+(1-EXP(-LN(2)/25))/(LN(2)/25)*Calculateur!V69*Calculateur!X69*VLOOKUP('Données projet'!$B$9,Paramètres!$A$1:$I$89,3,0)*0.475*44/12</f>
        <v>2.1850238656420808</v>
      </c>
      <c r="AB69" s="23">
        <f>EXP(-LN(2)/2)*AB68+(1-EXP(-LN(2)/2))/(LN(2)/2)*V69*Y69*VLOOKUP('Données projet'!$B$9,Paramètres!$A$1:$I$89,3,0)*0.475*44/12</f>
        <v>1.1196712120219334</v>
      </c>
      <c r="AC69" s="24">
        <f t="shared" si="57"/>
        <v>60.963396602637488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125.50615549487452</v>
      </c>
      <c r="T70" s="62">
        <f t="shared" si="88"/>
        <v>156.05798578195993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56.528049556404092</v>
      </c>
      <c r="AA70" s="23">
        <f>EXP(-LN(2)/25)*AA69+(1-EXP(-LN(2)/25))/(LN(2)/25)*Calculateur!V70*Calculateur!X70*VLOOKUP('Données projet'!$B$9,Paramètres!$A$1:$I$89,3,0)*0.475*44/12</f>
        <v>2.1252742731306871</v>
      </c>
      <c r="AB70" s="23">
        <f>EXP(-LN(2)/2)*AB69+(1-EXP(-LN(2)/2))/(LN(2)/2)*V70*Y70*VLOOKUP('Données projet'!$B$9,Paramètres!$A$1:$I$89,3,0)*0.475*44/12</f>
        <v>0.79172710672006974</v>
      </c>
      <c r="AC70" s="24">
        <f t="shared" si="57"/>
        <v>59.445050936254844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125.50615549487452</v>
      </c>
      <c r="T71" s="62">
        <f t="shared" si="88"/>
        <v>156.05798578195993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55.41956898330875</v>
      </c>
      <c r="AA71" s="23">
        <f>EXP(-LN(2)/25)*AA70+(1-EXP(-LN(2)/25))/(LN(2)/25)*Calculateur!V71*Calculateur!X71*VLOOKUP('Données projet'!$B$9,Paramètres!$A$1:$I$89,3,0)*0.475*44/12</f>
        <v>2.0671585363686118</v>
      </c>
      <c r="AB71" s="23">
        <f>EXP(-LN(2)/2)*AB70+(1-EXP(-LN(2)/2))/(LN(2)/2)*V71*Y71*VLOOKUP('Données projet'!$B$9,Paramètres!$A$1:$I$89,3,0)*0.475*44/12</f>
        <v>0.55983560601096671</v>
      </c>
      <c r="AC71" s="24">
        <f t="shared" si="57"/>
        <v>58.046563125688323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125.50615549487452</v>
      </c>
      <c r="T72" s="62">
        <f t="shared" si="88"/>
        <v>156.05798578195993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54.332825038145415</v>
      </c>
      <c r="AA72" s="23">
        <f>EXP(-LN(2)/25)*AA71+(1-EXP(-LN(2)/25))/(LN(2)/25)*Calculateur!V72*Calculateur!X72*VLOOKUP('Données projet'!$B$9,Paramètres!$A$1:$I$89,3,0)*0.475*44/12</f>
        <v>2.0106319774844694</v>
      </c>
      <c r="AB72" s="23">
        <f>EXP(-LN(2)/2)*AB71+(1-EXP(-LN(2)/2))/(LN(2)/2)*V72*Y72*VLOOKUP('Données projet'!$B$9,Paramètres!$A$1:$I$89,3,0)*0.475*44/12</f>
        <v>0.39586355336003487</v>
      </c>
      <c r="AC72" s="24">
        <f t="shared" si="57"/>
        <v>56.739320568989925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125.50615549487452</v>
      </c>
      <c r="T73" s="62">
        <f t="shared" si="88"/>
        <v>156.05798578195993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53.267391478898375</v>
      </c>
      <c r="AA73" s="23">
        <f>EXP(-LN(2)/25)*AA72+(1-EXP(-LN(2)/25))/(LN(2)/25)*Calculateur!V73*Calculateur!X73*VLOOKUP('Données projet'!$B$9,Paramètres!$A$1:$I$89,3,0)*0.475*44/12</f>
        <v>1.9556511403256163</v>
      </c>
      <c r="AB73" s="23">
        <f>EXP(-LN(2)/2)*AB72+(1-EXP(-LN(2)/2))/(LN(2)/2)*V73*Y73*VLOOKUP('Données projet'!$B$9,Paramètres!$A$1:$I$89,3,0)*0.475*44/12</f>
        <v>0.27991780300548336</v>
      </c>
      <c r="AC73" s="24">
        <f t="shared" si="57"/>
        <v>55.502960422229471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125.50615549487452</v>
      </c>
      <c r="T74" s="62">
        <f t="shared" si="88"/>
        <v>156.05798578195993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52.222850421897867</v>
      </c>
      <c r="AA74" s="23">
        <f>EXP(-LN(2)/25)*AA73+(1-EXP(-LN(2)/25))/(LN(2)/25)*Calculateur!V74*Calculateur!X74*VLOOKUP('Données projet'!$B$9,Paramètres!$A$1:$I$89,3,0)*0.475*44/12</f>
        <v>1.9021737570501884</v>
      </c>
      <c r="AB74" s="23">
        <f>EXP(-LN(2)/2)*AB73+(1-EXP(-LN(2)/2))/(LN(2)/2)*V74*Y74*VLOOKUP('Données projet'!$B$9,Paramètres!$A$1:$I$89,3,0)*0.475*44/12</f>
        <v>0.19793177668001743</v>
      </c>
      <c r="AC74" s="24">
        <f t="shared" si="57"/>
        <v>54.322955955628068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125.50615549487452</v>
      </c>
      <c r="T75" s="62">
        <f t="shared" si="88"/>
        <v>156.05798578195993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51.198792177918008</v>
      </c>
      <c r="AA75" s="23">
        <f>EXP(-LN(2)/25)*AA74+(1-EXP(-LN(2)/25))/(LN(2)/25)*Calculateur!V75*Calculateur!X75*VLOOKUP('Données projet'!$B$9,Paramètres!$A$1:$I$89,3,0)*0.475*44/12</f>
        <v>1.8501587156326806</v>
      </c>
      <c r="AB75" s="23">
        <f>EXP(-LN(2)/2)*AB74+(1-EXP(-LN(2)/2))/(LN(2)/2)*V75*Y75*VLOOKUP('Données projet'!$B$9,Paramètres!$A$1:$I$89,3,0)*0.475*44/12</f>
        <v>0.13995890150274168</v>
      </c>
      <c r="AC75" s="24">
        <f t="shared" si="57"/>
        <v>53.188909795053434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125.50615549487452</v>
      </c>
      <c r="T76" s="62">
        <f t="shared" si="88"/>
        <v>156.05798578195993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50.194815091488735</v>
      </c>
      <c r="AA76" s="23">
        <f>EXP(-LN(2)/25)*AA75+(1-EXP(-LN(2)/25))/(LN(2)/25)*Calculateur!V76*Calculateur!X76*VLOOKUP('Données projet'!$B$9,Paramètres!$A$1:$I$89,3,0)*0.475*44/12</f>
        <v>1.7995660282580868</v>
      </c>
      <c r="AB76" s="23">
        <f>EXP(-LN(2)/2)*AB75+(1-EXP(-LN(2)/2))/(LN(2)/2)*V76*Y76*VLOOKUP('Données projet'!$B$9,Paramètres!$A$1:$I$89,3,0)*0.475*44/12</f>
        <v>9.8965888340008717E-2</v>
      </c>
      <c r="AC76" s="24">
        <f t="shared" si="57"/>
        <v>52.09334700808683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125.50615549487452</v>
      </c>
      <c r="T77" s="62">
        <f t="shared" si="88"/>
        <v>156.05798578195993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49.210525383358785</v>
      </c>
      <c r="AA77" s="23">
        <f>EXP(-LN(2)/25)*AA76+(1-EXP(-LN(2)/25))/(LN(2)/25)*Calculateur!V77*Calculateur!X77*VLOOKUP('Données projet'!$B$9,Paramètres!$A$1:$I$89,3,0)*0.475*44/12</f>
        <v>1.750356800580305</v>
      </c>
      <c r="AB77" s="23">
        <f>EXP(-LN(2)/2)*AB76+(1-EXP(-LN(2)/2))/(LN(2)/2)*V77*Y77*VLOOKUP('Données projet'!$B$9,Paramètres!$A$1:$I$89,3,0)*0.475*44/12</f>
        <v>6.9979450751370839E-2</v>
      </c>
      <c r="AC77" s="24">
        <f t="shared" si="57"/>
        <v>51.03086163469046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125.50615549487452</v>
      </c>
      <c r="T78" s="62">
        <f t="shared" si="88"/>
        <v>156.05798578195993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48.245536996047825</v>
      </c>
      <c r="AA78" s="23">
        <f>EXP(-LN(2)/25)*AA77+(1-EXP(-LN(2)/25))/(LN(2)/25)*Calculateur!V78*Calculateur!X78*VLOOKUP('Données projet'!$B$9,Paramètres!$A$1:$I$89,3,0)*0.475*44/12</f>
        <v>1.7024932018211729</v>
      </c>
      <c r="AB78" s="23">
        <f>EXP(-LN(2)/2)*AB77+(1-EXP(-LN(2)/2))/(LN(2)/2)*V78*Y78*VLOOKUP('Données projet'!$B$9,Paramètres!$A$1:$I$89,3,0)*0.475*44/12</f>
        <v>4.9482944170004359E-2</v>
      </c>
      <c r="AC78" s="24">
        <f t="shared" si="57"/>
        <v>49.997513142038997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125.50615549487452</v>
      </c>
      <c r="T79" s="62">
        <f t="shared" si="88"/>
        <v>156.05798578195993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47.299471442427233</v>
      </c>
      <c r="AA79" s="23">
        <f>EXP(-LN(2)/25)*AA78+(1-EXP(-LN(2)/25))/(LN(2)/25)*Calculateur!V79*Calculateur!X79*VLOOKUP('Données projet'!$B$9,Paramètres!$A$1:$I$89,3,0)*0.475*44/12</f>
        <v>1.6559384356871465</v>
      </c>
      <c r="AB79" s="23">
        <f>EXP(-LN(2)/2)*AB78+(1-EXP(-LN(2)/2))/(LN(2)/2)*V79*Y79*VLOOKUP('Données projet'!$B$9,Paramètres!$A$1:$I$89,3,0)*0.475*44/12</f>
        <v>3.498972537568542E-2</v>
      </c>
      <c r="AC79" s="24">
        <f t="shared" si="57"/>
        <v>48.990399603490069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125.50615549487452</v>
      </c>
      <c r="T80" s="62">
        <f t="shared" si="88"/>
        <v>156.05798578195993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46.37195765727013</v>
      </c>
      <c r="AA80" s="23">
        <f>EXP(-LN(2)/25)*AA79+(1-EXP(-LN(2)/25))/(LN(2)/25)*Calculateur!V80*Calculateur!X80*VLOOKUP('Données projet'!$B$9,Paramètres!$A$1:$I$89,3,0)*0.475*44/12</f>
        <v>1.6106567120812638</v>
      </c>
      <c r="AB80" s="23">
        <f>EXP(-LN(2)/2)*AB79+(1-EXP(-LN(2)/2))/(LN(2)/2)*V80*Y80*VLOOKUP('Données projet'!$B$9,Paramètres!$A$1:$I$89,3,0)*0.475*44/12</f>
        <v>2.4741472085002179E-2</v>
      </c>
      <c r="AC80" s="24">
        <f t="shared" si="57"/>
        <v>48.0073558414364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125.50615549487452</v>
      </c>
      <c r="T81" s="62">
        <f t="shared" si="88"/>
        <v>156.05798578195993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45.462631851712409</v>
      </c>
      <c r="AA81" s="23">
        <f>EXP(-LN(2)/25)*AA80+(1-EXP(-LN(2)/25))/(LN(2)/25)*Calculateur!V81*Calculateur!X81*VLOOKUP('Données projet'!$B$9,Paramètres!$A$1:$I$89,3,0)*0.475*44/12</f>
        <v>1.5666132195886464</v>
      </c>
      <c r="AB81" s="23">
        <f>EXP(-LN(2)/2)*AB80+(1-EXP(-LN(2)/2))/(LN(2)/2)*V81*Y81*VLOOKUP('Données projet'!$B$9,Paramètres!$A$1:$I$89,3,0)*0.475*44/12</f>
        <v>1.749486268784271E-2</v>
      </c>
      <c r="AC81" s="24">
        <f t="shared" si="57"/>
        <v>47.046739933988896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125.50615549487452</v>
      </c>
      <c r="T82" s="62">
        <f t="shared" si="88"/>
        <v>156.05798578195993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44.571137370567698</v>
      </c>
      <c r="AA82" s="23">
        <f>EXP(-LN(2)/25)*AA81+(1-EXP(-LN(2)/25))/(LN(2)/25)*Calculateur!V82*Calculateur!X82*VLOOKUP('Données projet'!$B$9,Paramètres!$A$1:$I$89,3,0)*0.475*44/12</f>
        <v>1.5237740987143862</v>
      </c>
      <c r="AB82" s="23">
        <f>EXP(-LN(2)/2)*AB81+(1-EXP(-LN(2)/2))/(LN(2)/2)*V82*Y82*VLOOKUP('Données projet'!$B$9,Paramètres!$A$1:$I$89,3,0)*0.475*44/12</f>
        <v>1.237073604250109E-2</v>
      </c>
      <c r="AC82" s="24">
        <f t="shared" si="57"/>
        <v>46.10728220532458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125.50615549487452</v>
      </c>
      <c r="T83" s="62">
        <f t="shared" si="88"/>
        <v>156.05798578195993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43.697124552440293</v>
      </c>
      <c r="AA83" s="23">
        <f>EXP(-LN(2)/25)*AA82+(1-EXP(-LN(2)/25))/(LN(2)/25)*Calculateur!V83*Calculateur!X83*VLOOKUP('Données projet'!$B$9,Paramètres!$A$1:$I$89,3,0)*0.475*44/12</f>
        <v>1.482106415853244</v>
      </c>
      <c r="AB83" s="23">
        <f>EXP(-LN(2)/2)*AB82+(1-EXP(-LN(2)/2))/(LN(2)/2)*V83*Y83*VLOOKUP('Données projet'!$B$9,Paramètres!$A$1:$I$89,3,0)*0.475*44/12</f>
        <v>8.7474313439213549E-3</v>
      </c>
      <c r="AC83" s="24">
        <f t="shared" si="57"/>
        <v>45.187978399637458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125.50615549487452</v>
      </c>
      <c r="T84" s="62">
        <f t="shared" si="88"/>
        <v>156.05798578195993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42.840250592581192</v>
      </c>
      <c r="AA84" s="23">
        <f>EXP(-LN(2)/25)*AA83+(1-EXP(-LN(2)/25))/(LN(2)/25)*Calculateur!V84*Calculateur!X84*VLOOKUP('Données projet'!$B$9,Paramètres!$A$1:$I$89,3,0)*0.475*44/12</f>
        <v>1.4415781379711481</v>
      </c>
      <c r="AB84" s="23">
        <f>EXP(-LN(2)/2)*AB83+(1-EXP(-LN(2)/2))/(LN(2)/2)*V84*Y84*VLOOKUP('Données projet'!$B$9,Paramètres!$A$1:$I$89,3,0)*0.475*44/12</f>
        <v>6.1853680212505448E-3</v>
      </c>
      <c r="AC84" s="24">
        <f t="shared" si="57"/>
        <v>44.288014098573591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125.50615549487452</v>
      </c>
      <c r="T85" s="62">
        <f t="shared" si="88"/>
        <v>156.05798578195993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42.000179408433418</v>
      </c>
      <c r="AA85" s="23">
        <f>EXP(-LN(2)/25)*AA84+(1-EXP(-LN(2)/25))/(LN(2)/25)*Calculateur!V85*Calculateur!X85*VLOOKUP('Données projet'!$B$9,Paramètres!$A$1:$I$89,3,0)*0.475*44/12</f>
        <v>1.4021581079790275</v>
      </c>
      <c r="AB85" s="23">
        <f>EXP(-LN(2)/2)*AB84+(1-EXP(-LN(2)/2))/(LN(2)/2)*V85*Y85*VLOOKUP('Données projet'!$B$9,Paramètres!$A$1:$I$89,3,0)*0.475*44/12</f>
        <v>4.3737156719606774E-3</v>
      </c>
      <c r="AC85" s="24">
        <f t="shared" si="57"/>
        <v>43.406711232084405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125.50615549487452</v>
      </c>
      <c r="T86" s="62">
        <f t="shared" si="88"/>
        <v>156.05798578195993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41.17658150781395</v>
      </c>
      <c r="AA86" s="23">
        <f>EXP(-LN(2)/25)*AA85+(1-EXP(-LN(2)/25))/(LN(2)/25)*Calculateur!V86*Calculateur!X86*VLOOKUP('Données projet'!$B$9,Paramètres!$A$1:$I$89,3,0)*0.475*44/12</f>
        <v>1.3638160207800507</v>
      </c>
      <c r="AB86" s="23">
        <f>EXP(-LN(2)/2)*AB85+(1-EXP(-LN(2)/2))/(LN(2)/2)*V86*Y86*VLOOKUP('Données projet'!$B$9,Paramètres!$A$1:$I$89,3,0)*0.475*44/12</f>
        <v>3.0926840106252724E-3</v>
      </c>
      <c r="AC86" s="24">
        <f t="shared" si="57"/>
        <v>42.543490212604624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125.50615549487452</v>
      </c>
      <c r="T87" s="62">
        <f t="shared" si="88"/>
        <v>156.05798578195993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40.369133859680517</v>
      </c>
      <c r="AA87" s="23">
        <f>EXP(-LN(2)/25)*AA86+(1-EXP(-LN(2)/25))/(LN(2)/25)*Calculateur!V87*Calculateur!X87*VLOOKUP('Données projet'!$B$9,Paramètres!$A$1:$I$89,3,0)*0.475*44/12</f>
        <v>1.3265223999718527</v>
      </c>
      <c r="AB87" s="23">
        <f>EXP(-LN(2)/2)*AB86+(1-EXP(-LN(2)/2))/(LN(2)/2)*V87*Y87*VLOOKUP('Données projet'!$B$9,Paramètres!$A$1:$I$89,3,0)*0.475*44/12</f>
        <v>2.1868578359803387E-3</v>
      </c>
      <c r="AC87" s="24">
        <f t="shared" si="57"/>
        <v>41.697843117488347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125.50615549487452</v>
      </c>
      <c r="T88" s="62">
        <f t="shared" si="88"/>
        <v>156.05798578195993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39.577519767432541</v>
      </c>
      <c r="AA88" s="23">
        <f>EXP(-LN(2)/25)*AA87+(1-EXP(-LN(2)/25))/(LN(2)/25)*Calculateur!V88*Calculateur!X88*VLOOKUP('Données projet'!$B$9,Paramètres!$A$1:$I$89,3,0)*0.475*44/12</f>
        <v>1.2902485751858412</v>
      </c>
      <c r="AB88" s="23">
        <f>EXP(-LN(2)/2)*AB87+(1-EXP(-LN(2)/2))/(LN(2)/2)*V88*Y88*VLOOKUP('Données projet'!$B$9,Paramètres!$A$1:$I$89,3,0)*0.475*44/12</f>
        <v>1.5463420053126362E-3</v>
      </c>
      <c r="AC88" s="24">
        <f t="shared" si="57"/>
        <v>40.869314684623696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125.50615549487452</v>
      </c>
      <c r="T89" s="62">
        <f t="shared" si="88"/>
        <v>156.05798578195993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38.801428744696629</v>
      </c>
      <c r="AA89" s="23">
        <f>EXP(-LN(2)/25)*AA88+(1-EXP(-LN(2)/25))/(LN(2)/25)*Calculateur!V89*Calculateur!X89*VLOOKUP('Données projet'!$B$9,Paramètres!$A$1:$I$89,3,0)*0.475*44/12</f>
        <v>1.2549666600461606</v>
      </c>
      <c r="AB89" s="23">
        <f>EXP(-LN(2)/2)*AB88+(1-EXP(-LN(2)/2))/(LN(2)/2)*V89*Y89*VLOOKUP('Données projet'!$B$9,Paramètres!$A$1:$I$89,3,0)*0.475*44/12</f>
        <v>1.0934289179901694E-3</v>
      </c>
      <c r="AC89" s="24">
        <f t="shared" si="57"/>
        <v>40.057488833660777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125.50615549487452</v>
      </c>
      <c r="T90" s="62">
        <f t="shared" si="88"/>
        <v>156.05798578195993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38.040556393547789</v>
      </c>
      <c r="AA90" s="23">
        <f>EXP(-LN(2)/25)*AA89+(1-EXP(-LN(2)/25))/(LN(2)/25)*Calculateur!V90*Calculateur!X90*VLOOKUP('Données projet'!$B$9,Paramètres!$A$1:$I$89,3,0)*0.475*44/12</f>
        <v>1.2206495307313701</v>
      </c>
      <c r="AB90" s="23">
        <f>EXP(-LN(2)/2)*AB89+(1-EXP(-LN(2)/2))/(LN(2)/2)*V90*Y90*VLOOKUP('Données projet'!$B$9,Paramètres!$A$1:$I$89,3,0)*0.475*44/12</f>
        <v>7.7317100265631811E-4</v>
      </c>
      <c r="AC90" s="24">
        <f t="shared" si="57"/>
        <v>39.261979095281816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125.50615549487452</v>
      </c>
      <c r="T91" s="62">
        <f t="shared" si="88"/>
        <v>156.05798578195993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37.294604285118666</v>
      </c>
      <c r="AA91" s="23">
        <f>EXP(-LN(2)/25)*AA90+(1-EXP(-LN(2)/25))/(LN(2)/25)*Calculateur!V91*Calculateur!X91*VLOOKUP('Données projet'!$B$9,Paramètres!$A$1:$I$89,3,0)*0.475*44/12</f>
        <v>1.1872708051223517</v>
      </c>
      <c r="AB91" s="23">
        <f>EXP(-LN(2)/2)*AB90+(1-EXP(-LN(2)/2))/(LN(2)/2)*V91*Y91*VLOOKUP('Données projet'!$B$9,Paramètres!$A$1:$I$89,3,0)*0.475*44/12</f>
        <v>5.4671445899508468E-4</v>
      </c>
      <c r="AC91" s="24">
        <f t="shared" si="57"/>
        <v>38.482421804700017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125.50615549487452</v>
      </c>
      <c r="T92" s="62">
        <f t="shared" si="88"/>
        <v>156.05798578195993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36.563279842549974</v>
      </c>
      <c r="AA92" s="23">
        <f>EXP(-LN(2)/25)*AA91+(1-EXP(-LN(2)/25))/(LN(2)/25)*Calculateur!V92*Calculateur!X92*VLOOKUP('Données projet'!$B$9,Paramètres!$A$1:$I$89,3,0)*0.475*44/12</f>
        <v>1.1548048225204228</v>
      </c>
      <c r="AB92" s="23">
        <f>EXP(-LN(2)/2)*AB91+(1-EXP(-LN(2)/2))/(LN(2)/2)*V92*Y92*VLOOKUP('Données projet'!$B$9,Paramètres!$A$1:$I$89,3,0)*0.475*44/12</f>
        <v>3.8658550132815905E-4</v>
      </c>
      <c r="AC92" s="24">
        <f t="shared" si="57"/>
        <v>37.718471250571731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125.50615549487452</v>
      </c>
      <c r="T93" s="62">
        <f t="shared" si="88"/>
        <v>156.05798578195993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35.846296226236191</v>
      </c>
      <c r="AA93" s="23">
        <f>EXP(-LN(2)/25)*AA92+(1-EXP(-LN(2)/25))/(LN(2)/25)*Calculateur!V93*Calculateur!X93*VLOOKUP('Données projet'!$B$9,Paramètres!$A$1:$I$89,3,0)*0.475*44/12</f>
        <v>1.1232266239200557</v>
      </c>
      <c r="AB93" s="23">
        <f>EXP(-LN(2)/2)*AB92+(1-EXP(-LN(2)/2))/(LN(2)/2)*V93*Y93*VLOOKUP('Données projet'!$B$9,Paramètres!$A$1:$I$89,3,0)*0.475*44/12</f>
        <v>2.7335722949754234E-4</v>
      </c>
      <c r="AC93" s="24">
        <f t="shared" si="57"/>
        <v>36.969796207385741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125.50615549487452</v>
      </c>
      <c r="T94" s="62">
        <f t="shared" si="88"/>
        <v>156.05798578195993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35.143372221321499</v>
      </c>
      <c r="AA94" s="23">
        <f>EXP(-LN(2)/25)*AA93+(1-EXP(-LN(2)/25))/(LN(2)/25)*Calculateur!V94*Calculateur!X94*VLOOKUP('Données projet'!$B$9,Paramètres!$A$1:$I$89,3,0)*0.475*44/12</f>
        <v>1.0925119328210409</v>
      </c>
      <c r="AB94" s="23">
        <f>EXP(-LN(2)/2)*AB93+(1-EXP(-LN(2)/2))/(LN(2)/2)*V94*Y94*VLOOKUP('Données projet'!$B$9,Paramètres!$A$1:$I$89,3,0)*0.475*44/12</f>
        <v>1.9329275066407953E-4</v>
      </c>
      <c r="AC94" s="24">
        <f t="shared" si="57"/>
        <v>36.236077446893205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125.50615549487452</v>
      </c>
      <c r="T95" s="62">
        <f t="shared" si="88"/>
        <v>156.05798578195993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34.454232127401873</v>
      </c>
      <c r="AA95" s="23">
        <f>EXP(-LN(2)/25)*AA94+(1-EXP(-LN(2)/25))/(LN(2)/25)*Calculateur!V95*Calculateur!X95*VLOOKUP('Données projet'!$B$9,Paramètres!$A$1:$I$89,3,0)*0.475*44/12</f>
        <v>1.062637136565344</v>
      </c>
      <c r="AB95" s="23">
        <f>EXP(-LN(2)/2)*AB94+(1-EXP(-LN(2)/2))/(LN(2)/2)*V95*Y95*VLOOKUP('Données projet'!$B$9,Paramètres!$A$1:$I$89,3,0)*0.475*44/12</f>
        <v>1.3667861474877117E-4</v>
      </c>
      <c r="AC95" s="24">
        <f t="shared" si="57"/>
        <v>35.517005942581967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125.50615549487452</v>
      </c>
      <c r="T96" s="62">
        <f t="shared" si="88"/>
        <v>156.05798578195993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33.778605650390062</v>
      </c>
      <c r="AA96" s="23">
        <f>EXP(-LN(2)/25)*AA95+(1-EXP(-LN(2)/25))/(LN(2)/25)*Calculateur!V96*Calculateur!X96*VLOOKUP('Données projet'!$B$9,Paramètres!$A$1:$I$89,3,0)*0.475*44/12</f>
        <v>1.0335792681843063</v>
      </c>
      <c r="AB96" s="23">
        <f>EXP(-LN(2)/2)*AB95+(1-EXP(-LN(2)/2))/(LN(2)/2)*V96*Y96*VLOOKUP('Données projet'!$B$9,Paramètres!$A$1:$I$89,3,0)*0.475*44/12</f>
        <v>9.6646375332039763E-5</v>
      </c>
      <c r="AC96" s="24">
        <f t="shared" si="57"/>
        <v>34.8122815649497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125.50615549487452</v>
      </c>
      <c r="T97" s="62">
        <f t="shared" si="88"/>
        <v>156.05798578195993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33.116227796500993</v>
      </c>
      <c r="AA97" s="23">
        <f>EXP(-LN(2)/25)*AA96+(1-EXP(-LN(2)/25))/(LN(2)/25)*Calculateur!V97*Calculateur!X97*VLOOKUP('Données projet'!$B$9,Paramètres!$A$1:$I$89,3,0)*0.475*44/12</f>
        <v>1.0053159887422352</v>
      </c>
      <c r="AB97" s="23">
        <f>EXP(-LN(2)/2)*AB96+(1-EXP(-LN(2)/2))/(LN(2)/2)*V97*Y97*VLOOKUP('Données projet'!$B$9,Paramètres!$A$1:$I$89,3,0)*0.475*44/12</f>
        <v>6.8339307374385585E-5</v>
      </c>
      <c r="AC97" s="24">
        <f t="shared" si="57"/>
        <v>34.121612124550602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125.50615549487452</v>
      </c>
      <c r="T98" s="62">
        <f t="shared" si="88"/>
        <v>156.05798578195993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32.466838768316087</v>
      </c>
      <c r="AA98" s="23">
        <f>EXP(-LN(2)/25)*AA97+(1-EXP(-LN(2)/25))/(LN(2)/25)*Calculateur!V98*Calculateur!X98*VLOOKUP('Données projet'!$B$9,Paramètres!$A$1:$I$89,3,0)*0.475*44/12</f>
        <v>0.97782557016280858</v>
      </c>
      <c r="AB98" s="23">
        <f>EXP(-LN(2)/2)*AB97+(1-EXP(-LN(2)/2))/(LN(2)/2)*V98*Y98*VLOOKUP('Données projet'!$B$9,Paramètres!$A$1:$I$89,3,0)*0.475*44/12</f>
        <v>4.8323187666019882E-5</v>
      </c>
      <c r="AC98" s="24">
        <f t="shared" si="57"/>
        <v>33.444712661666557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125.50615549487452</v>
      </c>
      <c r="T99" s="62">
        <f t="shared" si="88"/>
        <v>156.05798578195993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31.830183862885693</v>
      </c>
      <c r="AA99" s="23">
        <f>EXP(-LN(2)/25)*AA98+(1-EXP(-LN(2)/25))/(LN(2)/25)*Calculateur!V99*Calculateur!X99*VLOOKUP('Données projet'!$B$9,Paramètres!$A$1:$I$89,3,0)*0.475*44/12</f>
        <v>0.95108687852509466</v>
      </c>
      <c r="AB99" s="23">
        <f>EXP(-LN(2)/2)*AB98+(1-EXP(-LN(2)/2))/(LN(2)/2)*V99*Y99*VLOOKUP('Données projet'!$B$9,Paramètres!$A$1:$I$89,3,0)*0.475*44/12</f>
        <v>3.4169653687192793E-5</v>
      </c>
      <c r="AC99" s="24">
        <f t="shared" si="57"/>
        <v>32.781304911064474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125.50615549487452</v>
      </c>
      <c r="T100" s="62">
        <f t="shared" si="88"/>
        <v>156.05798578195993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31.206013371829638</v>
      </c>
      <c r="AA100" s="23">
        <f>EXP(-LN(2)/25)*AA99+(1-EXP(-LN(2)/25))/(LN(2)/25)*Calculateur!V100*Calculateur!X100*VLOOKUP('Données projet'!$B$9,Paramètres!$A$1:$I$89,3,0)*0.475*44/12</f>
        <v>0.92507935781634076</v>
      </c>
      <c r="AB100" s="23">
        <f>EXP(-LN(2)/2)*AB99+(1-EXP(-LN(2)/2))/(LN(2)/2)*V100*Y100*VLOOKUP('Données projet'!$B$9,Paramètres!$A$1:$I$89,3,0)*0.475*44/12</f>
        <v>2.4161593833009941E-5</v>
      </c>
      <c r="AC100" s="24">
        <f t="shared" si="57"/>
        <v>32.131116891239813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125.50615549487452</v>
      </c>
      <c r="T101" s="62">
        <f t="shared" si="88"/>
        <v>156.05798578195993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30.594082483396786</v>
      </c>
      <c r="AA101" s="23">
        <f>EXP(-LN(2)/25)*AA100+(1-EXP(-LN(2)/25))/(LN(2)/25)*Calculateur!V101*Calculateur!X101*VLOOKUP('Données projet'!$B$9,Paramètres!$A$1:$I$89,3,0)*0.475*44/12</f>
        <v>0.89978301412904382</v>
      </c>
      <c r="AB101" s="23">
        <f>EXP(-LN(2)/2)*AB100+(1-EXP(-LN(2)/2))/(LN(2)/2)*V101*Y101*VLOOKUP('Données projet'!$B$9,Paramètres!$A$1:$I$89,3,0)*0.475*44/12</f>
        <v>1.7084826843596396E-5</v>
      </c>
      <c r="AC101" s="24">
        <f t="shared" si="57"/>
        <v>31.493882582352672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125.50615549487452</v>
      </c>
      <c r="T102" s="62">
        <f t="shared" si="88"/>
        <v>156.05798578195993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29.994151186445112</v>
      </c>
      <c r="AA102" s="23">
        <f>EXP(-LN(2)/25)*AA101+(1-EXP(-LN(2)/25))/(LN(2)/25)*Calculateur!V102*Calculateur!X102*VLOOKUP('Données projet'!$B$9,Paramètres!$A$1:$I$89,3,0)*0.475*44/12</f>
        <v>0.87517840029015292</v>
      </c>
      <c r="AB102" s="23">
        <f>EXP(-LN(2)/2)*AB101+(1-EXP(-LN(2)/2))/(LN(2)/2)*V102*Y102*VLOOKUP('Données projet'!$B$9,Paramètres!$A$1:$I$89,3,0)*0.475*44/12</f>
        <v>1.208079691650497E-5</v>
      </c>
      <c r="AC102" s="24">
        <f t="shared" si="57"/>
        <v>30.869341667532183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125.50615549487452</v>
      </c>
      <c r="T103" s="62">
        <f t="shared" si="88"/>
        <v>156.05798578195993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29.405984176304703</v>
      </c>
      <c r="AA103" s="23">
        <f>EXP(-LN(2)/25)*AA102+(1-EXP(-LN(2)/25))/(LN(2)/25)*Calculateur!V103*Calculateur!X103*VLOOKUP('Données projet'!$B$9,Paramètres!$A$1:$I$89,3,0)*0.475*44/12</f>
        <v>0.8512466009105869</v>
      </c>
      <c r="AB103" s="23">
        <f>EXP(-LN(2)/2)*AB102+(1-EXP(-LN(2)/2))/(LN(2)/2)*V103*Y103*VLOOKUP('Données projet'!$B$9,Paramètres!$A$1:$I$89,3,0)*0.475*44/12</f>
        <v>8.5424134217981981E-6</v>
      </c>
      <c r="AC103" s="24">
        <f t="shared" si="57"/>
        <v>30.257239319628713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125.50615549487452</v>
      </c>
      <c r="T104" s="62">
        <f t="shared" si="88"/>
        <v>156.05798578195993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28.829350762486694</v>
      </c>
      <c r="AA104" s="23">
        <f>EXP(-LN(2)/25)*AA103+(1-EXP(-LN(2)/25))/(LN(2)/25)*Calculateur!V104*Calculateur!X104*VLOOKUP('Données projet'!$B$9,Paramètres!$A$1:$I$89,3,0)*0.475*44/12</f>
        <v>0.82796921784357369</v>
      </c>
      <c r="AB104" s="23">
        <f>EXP(-LN(2)/2)*AB103+(1-EXP(-LN(2)/2))/(LN(2)/2)*V104*Y104*VLOOKUP('Données projet'!$B$9,Paramètres!$A$1:$I$89,3,0)*0.475*44/12</f>
        <v>6.0403984582524852E-6</v>
      </c>
      <c r="AC104" s="24">
        <f t="shared" si="57"/>
        <v>29.657326020728725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125.50615549487452</v>
      </c>
      <c r="T105" s="62">
        <f t="shared" si="88"/>
        <v>156.05798578195993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28.264024778202003</v>
      </c>
      <c r="AA105" s="23">
        <f>EXP(-LN(2)/25)*AA104+(1-EXP(-LN(2)/25))/(LN(2)/25)*Calculateur!V105*Calculateur!X105*VLOOKUP('Données projet'!$B$9,Paramètres!$A$1:$I$89,3,0)*0.475*44/12</f>
        <v>0.80532835604063235</v>
      </c>
      <c r="AB105" s="23">
        <f>EXP(-LN(2)/2)*AB104+(1-EXP(-LN(2)/2))/(LN(2)/2)*V105*Y105*VLOOKUP('Données projet'!$B$9,Paramètres!$A$1:$I$89,3,0)*0.475*44/12</f>
        <v>4.2712067108990991E-6</v>
      </c>
      <c r="AC105" s="24">
        <f t="shared" si="57"/>
        <v>29.069357405449345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125.50615549487452</v>
      </c>
      <c r="T106" s="62">
        <f t="shared" si="88"/>
        <v>156.05798578195993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27.709784491654332</v>
      </c>
      <c r="AA106" s="23">
        <f>EXP(-LN(2)/25)*AA105+(1-EXP(-LN(2)/25))/(LN(2)/25)*Calculateur!V106*Calculateur!X106*VLOOKUP('Données projet'!$B$9,Paramètres!$A$1:$I$89,3,0)*0.475*44/12</f>
        <v>0.78330660979432365</v>
      </c>
      <c r="AB106" s="23">
        <f>EXP(-LN(2)/2)*AB105+(1-EXP(-LN(2)/2))/(LN(2)/2)*V106*Y106*VLOOKUP('Données projet'!$B$9,Paramètres!$A$1:$I$89,3,0)*0.475*44/12</f>
        <v>3.0201992291262426E-6</v>
      </c>
      <c r="AC106" s="24">
        <f t="shared" si="57"/>
        <v>28.493094121647886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125.50615549487452</v>
      </c>
      <c r="T107" s="62">
        <f t="shared" si="88"/>
        <v>156.05798578195993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27.166412519072665</v>
      </c>
      <c r="AA107" s="23">
        <f>EXP(-LN(2)/25)*AA106+(1-EXP(-LN(2)/25))/(LN(2)/25)*Calculateur!V107*Calculateur!X107*VLOOKUP('Données projet'!$B$9,Paramètres!$A$1:$I$89,3,0)*0.475*44/12</f>
        <v>0.76188704935719354</v>
      </c>
      <c r="AB107" s="23">
        <f>EXP(-LN(2)/2)*AB106+(1-EXP(-LN(2)/2))/(LN(2)/2)*V107*Y107*VLOOKUP('Données projet'!$B$9,Paramètres!$A$1:$I$89,3,0)*0.475*44/12</f>
        <v>2.1356033554495495E-6</v>
      </c>
      <c r="AC107" s="24">
        <f t="shared" si="57"/>
        <v>27.928301704033213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125.50615549487452</v>
      </c>
      <c r="T108" s="62">
        <f t="shared" si="88"/>
        <v>156.05798578195993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26.633695739449148</v>
      </c>
      <c r="AA108" s="23">
        <f>EXP(-LN(2)/25)*AA107+(1-EXP(-LN(2)/25))/(LN(2)/25)*Calculateur!V108*Calculateur!X108*VLOOKUP('Données projet'!$B$9,Paramètres!$A$1:$I$89,3,0)*0.475*44/12</f>
        <v>0.74105320792662244</v>
      </c>
      <c r="AB108" s="23">
        <f>EXP(-LN(2)/2)*AB107+(1-EXP(-LN(2)/2))/(LN(2)/2)*V108*Y108*VLOOKUP('Données projet'!$B$9,Paramètres!$A$1:$I$89,3,0)*0.475*44/12</f>
        <v>1.5100996145631213E-6</v>
      </c>
      <c r="AC108" s="24">
        <f t="shared" si="57"/>
        <v>27.374750457475386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125.50615549487452</v>
      </c>
      <c r="T109" s="62">
        <f t="shared" si="88"/>
        <v>156.05798578195993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26.111425210948894</v>
      </c>
      <c r="AA109" s="23">
        <f>EXP(-LN(2)/25)*AA108+(1-EXP(-LN(2)/25))/(LN(2)/25)*Calculateur!V109*Calculateur!X109*VLOOKUP('Données projet'!$B$9,Paramètres!$A$1:$I$89,3,0)*0.475*44/12</f>
        <v>0.72078906898557449</v>
      </c>
      <c r="AB109" s="23">
        <f>EXP(-LN(2)/2)*AB108+(1-EXP(-LN(2)/2))/(LN(2)/2)*V109*Y109*VLOOKUP('Données projet'!$B$9,Paramètres!$A$1:$I$89,3,0)*0.475*44/12</f>
        <v>1.0678016777247748E-6</v>
      </c>
      <c r="AC109" s="24">
        <f t="shared" si="57"/>
        <v>26.832215347736145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125.50615549487452</v>
      </c>
      <c r="T110" s="62">
        <f t="shared" si="88"/>
        <v>156.05798578195993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25.599396088958965</v>
      </c>
      <c r="AA110" s="23">
        <f>EXP(-LN(2)/25)*AA109+(1-EXP(-LN(2)/25))/(LN(2)/25)*Calculateur!V110*Calculateur!X110*VLOOKUP('Données projet'!$B$9,Paramètres!$A$1:$I$89,3,0)*0.475*44/12</f>
        <v>0.7010790539895142</v>
      </c>
      <c r="AB110" s="23">
        <f>EXP(-LN(2)/2)*AB109+(1-EXP(-LN(2)/2))/(LN(2)/2)*V110*Y110*VLOOKUP('Données projet'!$B$9,Paramètres!$A$1:$I$89,3,0)*0.475*44/12</f>
        <v>7.5504980728156065E-7</v>
      </c>
      <c r="AC110" s="24">
        <f t="shared" si="57"/>
        <v>26.300475897998286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125.50615549487452</v>
      </c>
      <c r="T111" s="62">
        <f t="shared" si="88"/>
        <v>156.05798578195993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25.097407545744332</v>
      </c>
      <c r="AA111" s="23">
        <f>EXP(-LN(2)/25)*AA110+(1-EXP(-LN(2)/25))/(LN(2)/25)*Calculateur!V111*Calculateur!X111*VLOOKUP('Données projet'!$B$9,Paramètres!$A$1:$I$89,3,0)*0.475*44/12</f>
        <v>0.6819080103900258</v>
      </c>
      <c r="AB111" s="23">
        <f>EXP(-LN(2)/2)*AB110+(1-EXP(-LN(2)/2))/(LN(2)/2)*V111*Y111*VLOOKUP('Données projet'!$B$9,Paramètres!$A$1:$I$89,3,0)*0.475*44/12</f>
        <v>5.3390083886238738E-7</v>
      </c>
      <c r="AC111" s="24">
        <f t="shared" si="57"/>
        <v>25.779316090035195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125.50615549487452</v>
      </c>
      <c r="T112" s="62">
        <f t="shared" si="88"/>
        <v>156.05798578195993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24.605262691679357</v>
      </c>
      <c r="AA112" s="23">
        <f>EXP(-LN(2)/25)*AA111+(1-EXP(-LN(2)/25))/(LN(2)/25)*Calculateur!V112*Calculateur!X112*VLOOKUP('Données projet'!$B$9,Paramètres!$A$1:$I$89,3,0)*0.475*44/12</f>
        <v>0.66326119998592681</v>
      </c>
      <c r="AB112" s="23">
        <f>EXP(-LN(2)/2)*AB111+(1-EXP(-LN(2)/2))/(LN(2)/2)*V112*Y112*VLOOKUP('Données projet'!$B$9,Paramètres!$A$1:$I$89,3,0)*0.475*44/12</f>
        <v>3.7752490364078032E-7</v>
      </c>
      <c r="AC112" s="24">
        <f t="shared" si="57"/>
        <v>25.268524269190184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125.50615549487452</v>
      </c>
      <c r="T113" s="62">
        <f t="shared" si="88"/>
        <v>156.05798578195993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24.122768498023877</v>
      </c>
      <c r="AA113" s="23">
        <f>EXP(-LN(2)/25)*AA112+(1-EXP(-LN(2)/25))/(LN(2)/25)*Calculateur!V113*Calculateur!X113*VLOOKUP('Données projet'!$B$9,Paramètres!$A$1:$I$89,3,0)*0.475*44/12</f>
        <v>0.64512428759292106</v>
      </c>
      <c r="AB113" s="23">
        <f>EXP(-LN(2)/2)*AB112+(1-EXP(-LN(2)/2))/(LN(2)/2)*V113*Y113*VLOOKUP('Données projet'!$B$9,Paramètres!$A$1:$I$89,3,0)*0.475*44/12</f>
        <v>2.6695041943119369E-7</v>
      </c>
      <c r="AC113" s="24">
        <f t="shared" si="57"/>
        <v>24.767893052567217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125.50615549487452</v>
      </c>
      <c r="T114" s="62">
        <f t="shared" si="88"/>
        <v>156.05798578195993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23.649735721213581</v>
      </c>
      <c r="AA114" s="23">
        <f>EXP(-LN(2)/25)*AA113+(1-EXP(-LN(2)/25))/(LN(2)/25)*Calculateur!V114*Calculateur!X114*VLOOKUP('Données projet'!$B$9,Paramètres!$A$1:$I$89,3,0)*0.475*44/12</f>
        <v>0.62748333002308077</v>
      </c>
      <c r="AB114" s="23">
        <f>EXP(-LN(2)/2)*AB113+(1-EXP(-LN(2)/2))/(LN(2)/2)*V114*Y114*VLOOKUP('Données projet'!$B$9,Paramètres!$A$1:$I$89,3,0)*0.475*44/12</f>
        <v>1.8876245182039016E-7</v>
      </c>
      <c r="AC114" s="24">
        <f t="shared" si="57"/>
        <v>24.277219239999116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125.50615549487452</v>
      </c>
      <c r="T115" s="62">
        <f t="shared" si="88"/>
        <v>156.05798578195993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23.185978828635029</v>
      </c>
      <c r="AA115" s="23">
        <f>EXP(-LN(2)/25)*AA114+(1-EXP(-LN(2)/25))/(LN(2)/25)*Calculateur!V115*Calculateur!X115*VLOOKUP('Données projet'!$B$9,Paramètres!$A$1:$I$89,3,0)*0.475*44/12</f>
        <v>0.61032476536568547</v>
      </c>
      <c r="AB115" s="23">
        <f>EXP(-LN(2)/2)*AB114+(1-EXP(-LN(2)/2))/(LN(2)/2)*V115*Y115*VLOOKUP('Données projet'!$B$9,Paramètres!$A$1:$I$89,3,0)*0.475*44/12</f>
        <v>1.3347520971559685E-7</v>
      </c>
      <c r="AC115" s="24">
        <f t="shared" si="57"/>
        <v>23.796303727475927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125.50615549487452</v>
      </c>
      <c r="T116" s="62">
        <f t="shared" si="88"/>
        <v>156.05798578195993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22.731315925856169</v>
      </c>
      <c r="AA116" s="23">
        <f>EXP(-LN(2)/25)*AA115+(1-EXP(-LN(2)/25))/(LN(2)/25)*Calculateur!V116*Calculateur!X116*VLOOKUP('Données projet'!$B$9,Paramètres!$A$1:$I$89,3,0)*0.475*44/12</f>
        <v>0.59363540256117631</v>
      </c>
      <c r="AB116" s="23">
        <f>EXP(-LN(2)/2)*AB115+(1-EXP(-LN(2)/2))/(LN(2)/2)*V116*Y116*VLOOKUP('Données projet'!$B$9,Paramètres!$A$1:$I$89,3,0)*0.475*44/12</f>
        <v>9.4381225910195081E-8</v>
      </c>
      <c r="AC116" s="24">
        <f t="shared" si="57"/>
        <v>23.32495142279857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125.50615549487452</v>
      </c>
      <c r="T117" s="62">
        <f t="shared" si="88"/>
        <v>156.05798578195993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22.285568685283817</v>
      </c>
      <c r="AA117" s="23">
        <f>EXP(-LN(2)/25)*AA116+(1-EXP(-LN(2)/25))/(LN(2)/25)*Calculateur!V117*Calculateur!X117*VLOOKUP('Données projet'!$B$9,Paramètres!$A$1:$I$89,3,0)*0.475*44/12</f>
        <v>0.57740241126021186</v>
      </c>
      <c r="AB117" s="23">
        <f>EXP(-LN(2)/2)*AB116+(1-EXP(-LN(2)/2))/(LN(2)/2)*V117*Y117*VLOOKUP('Données projet'!$B$9,Paramètres!$A$1:$I$89,3,0)*0.475*44/12</f>
        <v>6.6737604857798423E-8</v>
      </c>
      <c r="AC117" s="24">
        <f t="shared" si="57"/>
        <v>22.862971163281635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125.50615549487452</v>
      </c>
      <c r="T118" s="62">
        <f t="shared" si="88"/>
        <v>156.05798578195993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21.848562276220115</v>
      </c>
      <c r="AA118" s="23">
        <f>EXP(-LN(2)/25)*AA117+(1-EXP(-LN(2)/25))/(LN(2)/25)*Calculateur!V118*Calculateur!X118*VLOOKUP('Données projet'!$B$9,Paramètres!$A$1:$I$89,3,0)*0.475*44/12</f>
        <v>0.56161331196002817</v>
      </c>
      <c r="AB118" s="23">
        <f>EXP(-LN(2)/2)*AB117+(1-EXP(-LN(2)/2))/(LN(2)/2)*V118*Y118*VLOOKUP('Données projet'!$B$9,Paramètres!$A$1:$I$89,3,0)*0.475*44/12</f>
        <v>4.7190612955097541E-8</v>
      </c>
      <c r="AC118" s="24">
        <f t="shared" si="57"/>
        <v>22.410175635370756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125.50615549487452</v>
      </c>
      <c r="T119" s="62">
        <f t="shared" si="88"/>
        <v>156.05798578195993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21.420125296290564</v>
      </c>
      <c r="AA119" s="23">
        <f>EXP(-LN(2)/25)*AA118+(1-EXP(-LN(2)/25))/(LN(2)/25)*Calculateur!V119*Calculateur!X119*VLOOKUP('Données projet'!$B$9,Paramètres!$A$1:$I$89,3,0)*0.475*44/12</f>
        <v>0.54625596641052077</v>
      </c>
      <c r="AB119" s="23">
        <f>EXP(-LN(2)/2)*AB118+(1-EXP(-LN(2)/2))/(LN(2)/2)*V119*Y119*VLOOKUP('Données projet'!$B$9,Paramètres!$A$1:$I$89,3,0)*0.475*44/12</f>
        <v>3.3368802428899211E-8</v>
      </c>
      <c r="AC119" s="24">
        <f t="shared" si="57"/>
        <v>21.966381296069887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125.50615549487452</v>
      </c>
      <c r="T120" s="62">
        <f t="shared" si="88"/>
        <v>156.05798578195993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21.000089704216677</v>
      </c>
      <c r="AA120" s="23">
        <f>EXP(-LN(2)/25)*AA119+(1-EXP(-LN(2)/25))/(LN(2)/25)*Calculateur!V120*Calculateur!X120*VLOOKUP('Données projet'!$B$9,Paramètres!$A$1:$I$89,3,0)*0.475*44/12</f>
        <v>0.53131856828267232</v>
      </c>
      <c r="AB120" s="23">
        <f>EXP(-LN(2)/2)*AB119+(1-EXP(-LN(2)/2))/(LN(2)/2)*V120*Y120*VLOOKUP('Données projet'!$B$9,Paramètres!$A$1:$I$89,3,0)*0.475*44/12</f>
        <v>2.359530647754877E-8</v>
      </c>
      <c r="AC120" s="24">
        <f t="shared" si="57"/>
        <v>21.531408296094654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125.50615549487452</v>
      </c>
      <c r="T121" s="62">
        <f t="shared" si="88"/>
        <v>156.05798578195993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20.588290753906943</v>
      </c>
      <c r="AA121" s="23">
        <f>EXP(-LN(2)/25)*AA120+(1-EXP(-LN(2)/25))/(LN(2)/25)*Calculateur!V121*Calculateur!X121*VLOOKUP('Données projet'!$B$9,Paramètres!$A$1:$I$89,3,0)*0.475*44/12</f>
        <v>0.5167896340921535</v>
      </c>
      <c r="AB121" s="23">
        <f>EXP(-LN(2)/2)*AB120+(1-EXP(-LN(2)/2))/(LN(2)/2)*V121*Y121*VLOOKUP('Données projet'!$B$9,Paramètres!$A$1:$I$89,3,0)*0.475*44/12</f>
        <v>1.6684401214449606E-8</v>
      </c>
      <c r="AC121" s="24">
        <f t="shared" si="57"/>
        <v>21.105080404683495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125.50615549487452</v>
      </c>
      <c r="T122" s="62">
        <f t="shared" si="88"/>
        <v>156.05798578195993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20.184566929840226</v>
      </c>
      <c r="AA122" s="23">
        <f>EXP(-LN(2)/25)*AA121+(1-EXP(-LN(2)/25))/(LN(2)/25)*Calculateur!V122*Calculateur!X122*VLOOKUP('Données projet'!$B$9,Paramètres!$A$1:$I$89,3,0)*0.475*44/12</f>
        <v>0.5026579943711178</v>
      </c>
      <c r="AB122" s="23">
        <f>EXP(-LN(2)/2)*AB121+(1-EXP(-LN(2)/2))/(LN(2)/2)*V122*Y122*VLOOKUP('Données projet'!$B$9,Paramètres!$A$1:$I$89,3,0)*0.475*44/12</f>
        <v>1.1797653238774385E-8</v>
      </c>
      <c r="AC122" s="24">
        <f t="shared" si="57"/>
        <v>20.687224936008995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125.50615549487452</v>
      </c>
      <c r="T123" s="62">
        <f t="shared" si="88"/>
        <v>156.05798578195993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19.788759883716239</v>
      </c>
      <c r="AA123" s="23">
        <f>EXP(-LN(2)/25)*AA122+(1-EXP(-LN(2)/25))/(LN(2)/25)*Calculateur!V123*Calculateur!X123*VLOOKUP('Données projet'!$B$9,Paramètres!$A$1:$I$89,3,0)*0.475*44/12</f>
        <v>0.48891278508140451</v>
      </c>
      <c r="AB123" s="23">
        <f>EXP(-LN(2)/2)*AB122+(1-EXP(-LN(2)/2))/(LN(2)/2)*V123*Y123*VLOOKUP('Données projet'!$B$9,Paramètres!$A$1:$I$89,3,0)*0.475*44/12</f>
        <v>8.3422006072248029E-9</v>
      </c>
      <c r="AC123" s="24">
        <f t="shared" si="57"/>
        <v>20.277672677139844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125.50615549487452</v>
      </c>
      <c r="T124" s="62">
        <f t="shared" si="88"/>
        <v>156.05798578195993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19.400714372348283</v>
      </c>
      <c r="AA124" s="23">
        <f>EXP(-LN(2)/25)*AA123+(1-EXP(-LN(2)/25))/(LN(2)/25)*Calculateur!V124*Calculateur!X124*VLOOKUP('Données projet'!$B$9,Paramètres!$A$1:$I$89,3,0)*0.475*44/12</f>
        <v>0.47554343926254755</v>
      </c>
      <c r="AB124" s="23">
        <f>EXP(-LN(2)/2)*AB123+(1-EXP(-LN(2)/2))/(LN(2)/2)*V124*Y124*VLOOKUP('Données projet'!$B$9,Paramètres!$A$1:$I$89,3,0)*0.475*44/12</f>
        <v>5.8988266193871926E-9</v>
      </c>
      <c r="AC124" s="24">
        <f t="shared" si="57"/>
        <v>19.876257817509657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125.50615549487452</v>
      </c>
      <c r="T125" s="62">
        <f t="shared" si="88"/>
        <v>156.05798578195993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19.020278196773862</v>
      </c>
      <c r="AA125" s="23">
        <f>EXP(-LN(2)/25)*AA124+(1-EXP(-LN(2)/25))/(LN(2)/25)*Calculateur!V125*Calculateur!X125*VLOOKUP('Données projet'!$B$9,Paramètres!$A$1:$I$89,3,0)*0.475*44/12</f>
        <v>0.4625396789081706</v>
      </c>
      <c r="AB125" s="23">
        <f>EXP(-LN(2)/2)*AB124+(1-EXP(-LN(2)/2))/(LN(2)/2)*V125*Y125*VLOOKUP('Données projet'!$B$9,Paramètres!$A$1:$I$89,3,0)*0.475*44/12</f>
        <v>4.1711003036124014E-9</v>
      </c>
      <c r="AC125" s="24">
        <f t="shared" si="57"/>
        <v>19.482817879853133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125.50615549487452</v>
      </c>
      <c r="T126" s="62">
        <f t="shared" si="88"/>
        <v>156.05798578195993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18.647302142559301</v>
      </c>
      <c r="AA126" s="23">
        <f>EXP(-LN(2)/25)*AA125+(1-EXP(-LN(2)/25))/(LN(2)/25)*Calculateur!V126*Calculateur!X126*VLOOKUP('Données projet'!$B$9,Paramètres!$A$1:$I$89,3,0)*0.475*44/12</f>
        <v>0.44989150706452213</v>
      </c>
      <c r="AB126" s="23">
        <f>EXP(-LN(2)/2)*AB125+(1-EXP(-LN(2)/2))/(LN(2)/2)*V126*Y126*VLOOKUP('Données projet'!$B$9,Paramètres!$A$1:$I$89,3,0)*0.475*44/12</f>
        <v>2.9494133096935963E-9</v>
      </c>
      <c r="AC126" s="24">
        <f t="shared" si="57"/>
        <v>19.097193652573235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125.50615549487452</v>
      </c>
      <c r="T127" s="62">
        <f t="shared" si="88"/>
        <v>156.05798578195993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18.281639921274959</v>
      </c>
      <c r="AA127" s="23">
        <f>EXP(-LN(2)/25)*AA126+(1-EXP(-LN(2)/25))/(LN(2)/25)*Calculateur!V127*Calculateur!X127*VLOOKUP('Données projet'!$B$9,Paramètres!$A$1:$I$89,3,0)*0.475*44/12</f>
        <v>0.43758920014507668</v>
      </c>
      <c r="AB127" s="23">
        <f>EXP(-LN(2)/2)*AB126+(1-EXP(-LN(2)/2))/(LN(2)/2)*V127*Y127*VLOOKUP('Données projet'!$B$9,Paramètres!$A$1:$I$89,3,0)*0.475*44/12</f>
        <v>2.0855501518062007E-9</v>
      </c>
      <c r="AC127" s="24">
        <f t="shared" si="57"/>
        <v>18.719229123505585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125.50615549487452</v>
      </c>
      <c r="T128" s="62">
        <f t="shared" si="88"/>
        <v>156.05798578195993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17.923148113118067</v>
      </c>
      <c r="AA128" s="23">
        <f>EXP(-LN(2)/25)*AA127+(1-EXP(-LN(2)/25))/(LN(2)/25)*Calculateur!V128*Calculateur!X128*VLOOKUP('Données projet'!$B$9,Paramètres!$A$1:$I$89,3,0)*0.475*44/12</f>
        <v>0.42562330045529367</v>
      </c>
      <c r="AB128" s="23">
        <f>EXP(-LN(2)/2)*AB127+(1-EXP(-LN(2)/2))/(LN(2)/2)*V128*Y128*VLOOKUP('Données projet'!$B$9,Paramètres!$A$1:$I$89,3,0)*0.475*44/12</f>
        <v>1.4747066548467981E-9</v>
      </c>
      <c r="AC128" s="24">
        <f t="shared" si="57"/>
        <v>18.348771415048066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125.50615549487452</v>
      </c>
      <c r="T129" s="62">
        <f t="shared" si="88"/>
        <v>156.05798578195993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17.571686110660721</v>
      </c>
      <c r="AA129" s="23">
        <f>EXP(-LN(2)/25)*AA128+(1-EXP(-LN(2)/25))/(LN(2)/25)*Calculateur!V129*Calculateur!X129*VLOOKUP('Données projet'!$B$9,Paramètres!$A$1:$I$89,3,0)*0.475*44/12</f>
        <v>0.41398460892178707</v>
      </c>
      <c r="AB129" s="23">
        <f>EXP(-LN(2)/2)*AB128+(1-EXP(-LN(2)/2))/(LN(2)/2)*V129*Y129*VLOOKUP('Données projet'!$B$9,Paramètres!$A$1:$I$89,3,0)*0.475*44/12</f>
        <v>1.0427750759031004E-9</v>
      </c>
      <c r="AC129" s="24">
        <f t="shared" si="57"/>
        <v>17.985670720625283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125.50615549487452</v>
      </c>
      <c r="T130" s="62">
        <f t="shared" si="88"/>
        <v>156.05798578195993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17.227116063700908</v>
      </c>
      <c r="AA130" s="23">
        <f>EXP(-LN(2)/25)*AA129+(1-EXP(-LN(2)/25))/(LN(2)/25)*Calculateur!V130*Calculateur!X130*VLOOKUP('Données projet'!$B$9,Paramètres!$A$1:$I$89,3,0)*0.475*44/12</f>
        <v>0.4026641780203164</v>
      </c>
      <c r="AB130" s="23">
        <f>EXP(-LN(2)/2)*AB129+(1-EXP(-LN(2)/2))/(LN(2)/2)*V130*Y130*VLOOKUP('Données projet'!$B$9,Paramètres!$A$1:$I$89,3,0)*0.475*44/12</f>
        <v>7.3735332742339907E-10</v>
      </c>
      <c r="AC130" s="24">
        <f t="shared" si="57"/>
        <v>17.62978024245858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125.50615549487452</v>
      </c>
      <c r="T131" s="62">
        <f t="shared" si="88"/>
        <v>156.05798578195993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16.889302825195003</v>
      </c>
      <c r="AA131" s="23">
        <f>EXP(-LN(2)/25)*AA130+(1-EXP(-LN(2)/25))/(LN(2)/25)*Calculateur!V131*Calculateur!X131*VLOOKUP('Données projet'!$B$9,Paramètres!$A$1:$I$89,3,0)*0.475*44/12</f>
        <v>0.39165330489716205</v>
      </c>
      <c r="AB131" s="23">
        <f>EXP(-LN(2)/2)*AB130+(1-EXP(-LN(2)/2))/(LN(2)/2)*V131*Y131*VLOOKUP('Données projet'!$B$9,Paramètres!$A$1:$I$89,3,0)*0.475*44/12</f>
        <v>5.2138753795155018E-10</v>
      </c>
      <c r="AC131" s="24">
        <f t="shared" si="57"/>
        <v>17.280956130613554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125.50615549487452</v>
      </c>
      <c r="T132" s="62">
        <f t="shared" si="88"/>
        <v>156.05798578195993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16.558113898250468</v>
      </c>
      <c r="AA132" s="23">
        <f>EXP(-LN(2)/25)*AA131+(1-EXP(-LN(2)/25))/(LN(2)/25)*Calculateur!V132*Calculateur!X132*VLOOKUP('Données projet'!$B$9,Paramètres!$A$1:$I$89,3,0)*0.475*44/12</f>
        <v>0.38094352467859699</v>
      </c>
      <c r="AB132" s="23">
        <f>EXP(-LN(2)/2)*AB131+(1-EXP(-LN(2)/2))/(LN(2)/2)*V132*Y132*VLOOKUP('Données projet'!$B$9,Paramètres!$A$1:$I$89,3,0)*0.475*44/12</f>
        <v>3.6867666371169954E-10</v>
      </c>
      <c r="AC132" s="24">
        <f t="shared" ref="AC132:AC153" si="111">SUM(Z132:AB132)</f>
        <v>16.93905742329774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125.50615549487452</v>
      </c>
      <c r="T133" s="62">
        <f t="shared" ref="T133:T196" si="142">$T$3</f>
        <v>156.05798578195993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16.233419384158015</v>
      </c>
      <c r="AA133" s="23">
        <f>EXP(-LN(2)/25)*AA132+(1-EXP(-LN(2)/25))/(LN(2)/25)*Calculateur!V133*Calculateur!X133*VLOOKUP('Données projet'!$B$9,Paramètres!$A$1:$I$89,3,0)*0.475*44/12</f>
        <v>0.37052660396331144</v>
      </c>
      <c r="AB133" s="23">
        <f>EXP(-LN(2)/2)*AB132+(1-EXP(-LN(2)/2))/(LN(2)/2)*V133*Y133*VLOOKUP('Données projet'!$B$9,Paramètres!$A$1:$I$89,3,0)*0.475*44/12</f>
        <v>2.6069376897577509E-10</v>
      </c>
      <c r="AC133" s="24">
        <f t="shared" si="111"/>
        <v>16.603945988382023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125.50615549487452</v>
      </c>
      <c r="T134" s="62">
        <f t="shared" si="142"/>
        <v>156.05798578195993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15.915091931442818</v>
      </c>
      <c r="AA134" s="23">
        <f>EXP(-LN(2)/25)*AA133+(1-EXP(-LN(2)/25))/(LN(2)/25)*Calculateur!V134*Calculateur!X134*VLOOKUP('Données projet'!$B$9,Paramètres!$A$1:$I$89,3,0)*0.475*44/12</f>
        <v>0.36039453449278741</v>
      </c>
      <c r="AB134" s="23">
        <f>EXP(-LN(2)/2)*AB133+(1-EXP(-LN(2)/2))/(LN(2)/2)*V134*Y134*VLOOKUP('Données projet'!$B$9,Paramètres!$A$1:$I$89,3,0)*0.475*44/12</f>
        <v>1.8433833185584977E-10</v>
      </c>
      <c r="AC134" s="24">
        <f t="shared" si="111"/>
        <v>16.275486466119947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125.50615549487452</v>
      </c>
      <c r="T135" s="62">
        <f t="shared" si="142"/>
        <v>156.05798578195993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15.603006685914792</v>
      </c>
      <c r="AA135" s="23">
        <f>EXP(-LN(2)/25)*AA134+(1-EXP(-LN(2)/25))/(LN(2)/25)*Calculateur!V135*Calculateur!X135*VLOOKUP('Données projet'!$B$9,Paramètres!$A$1:$I$89,3,0)*0.475*44/12</f>
        <v>0.35053952699475727</v>
      </c>
      <c r="AB135" s="23">
        <f>EXP(-LN(2)/2)*AB134+(1-EXP(-LN(2)/2))/(LN(2)/2)*V135*Y135*VLOOKUP('Données projet'!$B$9,Paramètres!$A$1:$I$89,3,0)*0.475*44/12</f>
        <v>1.3034688448788754E-10</v>
      </c>
      <c r="AC135" s="24">
        <f t="shared" si="111"/>
        <v>15.953546213039896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125.50615549487452</v>
      </c>
      <c r="T136" s="62">
        <f t="shared" si="142"/>
        <v>156.05798578195993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15.297041241698366</v>
      </c>
      <c r="AA136" s="23">
        <f>EXP(-LN(2)/25)*AA135+(1-EXP(-LN(2)/25))/(LN(2)/25)*Calculateur!V136*Calculateur!X136*VLOOKUP('Données projet'!$B$9,Paramètres!$A$1:$I$89,3,0)*0.475*44/12</f>
        <v>0.34095400519501307</v>
      </c>
      <c r="AB136" s="23">
        <f>EXP(-LN(2)/2)*AB135+(1-EXP(-LN(2)/2))/(LN(2)/2)*V136*Y136*VLOOKUP('Données projet'!$B$9,Paramètres!$A$1:$I$89,3,0)*0.475*44/12</f>
        <v>9.2169165927924884E-11</v>
      </c>
      <c r="AC136" s="24">
        <f t="shared" si="111"/>
        <v>15.637995246985549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125.50615549487452</v>
      </c>
      <c r="T137" s="62">
        <f t="shared" si="142"/>
        <v>156.05798578195993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14.997075593222531</v>
      </c>
      <c r="AA137" s="23">
        <f>EXP(-LN(2)/25)*AA136+(1-EXP(-LN(2)/25))/(LN(2)/25)*Calculateur!V137*Calculateur!X137*VLOOKUP('Données projet'!$B$9,Paramètres!$A$1:$I$89,3,0)*0.475*44/12</f>
        <v>0.33163059999296357</v>
      </c>
      <c r="AB137" s="23">
        <f>EXP(-LN(2)/2)*AB136+(1-EXP(-LN(2)/2))/(LN(2)/2)*V137*Y137*VLOOKUP('Données projet'!$B$9,Paramètres!$A$1:$I$89,3,0)*0.475*44/12</f>
        <v>6.5173442243943772E-11</v>
      </c>
      <c r="AC137" s="24">
        <f t="shared" si="111"/>
        <v>15.328706193280668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125.50615549487452</v>
      </c>
      <c r="T138" s="62">
        <f t="shared" si="142"/>
        <v>156.05798578195993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14.702992088152326</v>
      </c>
      <c r="AA138" s="23">
        <f>EXP(-LN(2)/25)*AA137+(1-EXP(-LN(2)/25))/(LN(2)/25)*Calculateur!V138*Calculateur!X138*VLOOKUP('Données projet'!$B$9,Paramètres!$A$1:$I$89,3,0)*0.475*44/12</f>
        <v>0.3225621437964607</v>
      </c>
      <c r="AB138" s="23">
        <f>EXP(-LN(2)/2)*AB137+(1-EXP(-LN(2)/2))/(LN(2)/2)*V138*Y138*VLOOKUP('Données projet'!$B$9,Paramètres!$A$1:$I$89,3,0)*0.475*44/12</f>
        <v>4.6084582963962442E-11</v>
      </c>
      <c r="AC138" s="24">
        <f t="shared" si="111"/>
        <v>15.025554231994871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125.50615549487452</v>
      </c>
      <c r="T139" s="62">
        <f t="shared" si="142"/>
        <v>156.05798578195993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14.414675381243322</v>
      </c>
      <c r="AA139" s="23">
        <f>EXP(-LN(2)/25)*AA138+(1-EXP(-LN(2)/25))/(LN(2)/25)*Calculateur!V139*Calculateur!X139*VLOOKUP('Données projet'!$B$9,Paramètres!$A$1:$I$89,3,0)*0.475*44/12</f>
        <v>0.31374166501154055</v>
      </c>
      <c r="AB139" s="23">
        <f>EXP(-LN(2)/2)*AB138+(1-EXP(-LN(2)/2))/(LN(2)/2)*V139*Y139*VLOOKUP('Données projet'!$B$9,Paramètres!$A$1:$I$89,3,0)*0.475*44/12</f>
        <v>3.2586721121971886E-11</v>
      </c>
      <c r="AC139" s="24">
        <f t="shared" si="111"/>
        <v>14.728417046287451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125.50615549487452</v>
      </c>
      <c r="T140" s="62">
        <f t="shared" si="142"/>
        <v>156.05798578195993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14.132012389100977</v>
      </c>
      <c r="AA140" s="23">
        <f>EXP(-LN(2)/25)*AA139+(1-EXP(-LN(2)/25))/(LN(2)/25)*Calculateur!V140*Calculateur!X140*VLOOKUP('Données projet'!$B$9,Paramètres!$A$1:$I$89,3,0)*0.475*44/12</f>
        <v>0.3051623826828429</v>
      </c>
      <c r="AB140" s="23">
        <f>EXP(-LN(2)/2)*AB139+(1-EXP(-LN(2)/2))/(LN(2)/2)*V140*Y140*VLOOKUP('Données projet'!$B$9,Paramètres!$A$1:$I$89,3,0)*0.475*44/12</f>
        <v>2.3042291481981221E-11</v>
      </c>
      <c r="AC140" s="24">
        <f t="shared" si="111"/>
        <v>14.437174771806863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125.50615549487452</v>
      </c>
      <c r="T141" s="62">
        <f t="shared" si="142"/>
        <v>156.05798578195993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13.854892245827141</v>
      </c>
      <c r="AA141" s="23">
        <f>EXP(-LN(2)/25)*AA140+(1-EXP(-LN(2)/25))/(LN(2)/25)*Calculateur!V141*Calculateur!X141*VLOOKUP('Données projet'!$B$9,Paramètres!$A$1:$I$89,3,0)*0.475*44/12</f>
        <v>0.29681770128058832</v>
      </c>
      <c r="AB141" s="23">
        <f>EXP(-LN(2)/2)*AB140+(1-EXP(-LN(2)/2))/(LN(2)/2)*V141*Y141*VLOOKUP('Données projet'!$B$9,Paramètres!$A$1:$I$89,3,0)*0.475*44/12</f>
        <v>1.6293360560985943E-11</v>
      </c>
      <c r="AC141" s="24">
        <f t="shared" si="111"/>
        <v>14.151709947124022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125.50615549487452</v>
      </c>
      <c r="T142" s="62">
        <f t="shared" si="142"/>
        <v>156.05798578195993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13.583206259536309</v>
      </c>
      <c r="AA142" s="23">
        <f>EXP(-LN(2)/25)*AA141+(1-EXP(-LN(2)/25))/(LN(2)/25)*Calculateur!V142*Calculateur!X142*VLOOKUP('Données projet'!$B$9,Paramètres!$A$1:$I$89,3,0)*0.475*44/12</f>
        <v>0.28870120563010609</v>
      </c>
      <c r="AB142" s="23">
        <f>EXP(-LN(2)/2)*AB141+(1-EXP(-LN(2)/2))/(LN(2)/2)*V142*Y142*VLOOKUP('Données projet'!$B$9,Paramètres!$A$1:$I$89,3,0)*0.475*44/12</f>
        <v>1.1521145740990611E-11</v>
      </c>
      <c r="AC142" s="24">
        <f t="shared" si="111"/>
        <v>13.871907465177937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125.50615549487452</v>
      </c>
      <c r="T143" s="62">
        <f t="shared" si="142"/>
        <v>156.05798578195993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13.316847869724551</v>
      </c>
      <c r="AA143" s="23">
        <f>EXP(-LN(2)/25)*AA142+(1-EXP(-LN(2)/25))/(LN(2)/25)*Calculateur!V143*Calculateur!X143*VLOOKUP('Données projet'!$B$9,Paramètres!$A$1:$I$89,3,0)*0.475*44/12</f>
        <v>0.28080665598001425</v>
      </c>
      <c r="AB143" s="23">
        <f>EXP(-LN(2)/2)*AB142+(1-EXP(-LN(2)/2))/(LN(2)/2)*V143*Y143*VLOOKUP('Données projet'!$B$9,Paramètres!$A$1:$I$89,3,0)*0.475*44/12</f>
        <v>8.1466802804929716E-12</v>
      </c>
      <c r="AC143" s="24">
        <f t="shared" si="111"/>
        <v>13.597654525712711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125.50615549487452</v>
      </c>
      <c r="T144" s="62">
        <f t="shared" si="142"/>
        <v>156.05798578195993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13.055712605474426</v>
      </c>
      <c r="AA144" s="23">
        <f>EXP(-LN(2)/25)*AA143+(1-EXP(-LN(2)/25))/(LN(2)/25)*Calculateur!V144*Calculateur!X144*VLOOKUP('Données projet'!$B$9,Paramètres!$A$1:$I$89,3,0)*0.475*44/12</f>
        <v>0.27312798320526049</v>
      </c>
      <c r="AB144" s="23">
        <f>EXP(-LN(2)/2)*AB143+(1-EXP(-LN(2)/2))/(LN(2)/2)*V144*Y144*VLOOKUP('Données projet'!$B$9,Paramètres!$A$1:$I$89,3,0)*0.475*44/12</f>
        <v>5.7605728704953053E-12</v>
      </c>
      <c r="AC144" s="24">
        <f t="shared" si="111"/>
        <v>13.328840588685447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125.50615549487452</v>
      </c>
      <c r="T145" s="62">
        <f t="shared" si="142"/>
        <v>156.05798578195993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12.799698044479461</v>
      </c>
      <c r="AA145" s="23">
        <f>EXP(-LN(2)/25)*AA144+(1-EXP(-LN(2)/25))/(LN(2)/25)*Calculateur!V145*Calculateur!X145*VLOOKUP('Données projet'!$B$9,Paramètres!$A$1:$I$89,3,0)*0.475*44/12</f>
        <v>0.26565928414133627</v>
      </c>
      <c r="AB145" s="23">
        <f>EXP(-LN(2)/2)*AB144+(1-EXP(-LN(2)/2))/(LN(2)/2)*V145*Y145*VLOOKUP('Données projet'!$B$9,Paramètres!$A$1:$I$89,3,0)*0.475*44/12</f>
        <v>4.0733401402464858E-12</v>
      </c>
      <c r="AC145" s="24">
        <f t="shared" si="111"/>
        <v>13.06535732862487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125.50615549487452</v>
      </c>
      <c r="T146" s="62">
        <f t="shared" si="142"/>
        <v>156.05798578195993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12.548703772872145</v>
      </c>
      <c r="AA146" s="23">
        <f>EXP(-LN(2)/25)*AA145+(1-EXP(-LN(2)/25))/(LN(2)/25)*Calculateur!V146*Calculateur!X146*VLOOKUP('Données projet'!$B$9,Paramètres!$A$1:$I$89,3,0)*0.475*44/12</f>
        <v>0.25839481704607686</v>
      </c>
      <c r="AB146" s="23">
        <f>EXP(-LN(2)/2)*AB145+(1-EXP(-LN(2)/2))/(LN(2)/2)*V146*Y146*VLOOKUP('Données projet'!$B$9,Paramètres!$A$1:$I$89,3,0)*0.475*44/12</f>
        <v>2.8802864352476526E-12</v>
      </c>
      <c r="AC146" s="24">
        <f t="shared" si="111"/>
        <v>12.8070985899211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125.50615549487452</v>
      </c>
      <c r="T147" s="62">
        <f t="shared" si="142"/>
        <v>156.05798578195993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12.302631345839659</v>
      </c>
      <c r="AA147" s="23">
        <f>EXP(-LN(2)/25)*AA146+(1-EXP(-LN(2)/25))/(LN(2)/25)*Calculateur!V147*Calculateur!X147*VLOOKUP('Données projet'!$B$9,Paramètres!$A$1:$I$89,3,0)*0.475*44/12</f>
        <v>0.25132899718555901</v>
      </c>
      <c r="AB147" s="23">
        <f>EXP(-LN(2)/2)*AB146+(1-EXP(-LN(2)/2))/(LN(2)/2)*V147*Y147*VLOOKUP('Données projet'!$B$9,Paramètres!$A$1:$I$89,3,0)*0.475*44/12</f>
        <v>2.0366700701232429E-12</v>
      </c>
      <c r="AC147" s="24">
        <f t="shared" si="111"/>
        <v>12.553960343027255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125.50615549487452</v>
      </c>
      <c r="T148" s="62">
        <f t="shared" si="142"/>
        <v>156.05798578195993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12.061384249011919</v>
      </c>
      <c r="AA148" s="23">
        <f>EXP(-LN(2)/25)*AA147+(1-EXP(-LN(2)/25))/(LN(2)/25)*Calculateur!V148*Calculateur!X148*VLOOKUP('Données projet'!$B$9,Paramètres!$A$1:$I$89,3,0)*0.475*44/12</f>
        <v>0.24445639254070237</v>
      </c>
      <c r="AB148" s="23">
        <f>EXP(-LN(2)/2)*AB147+(1-EXP(-LN(2)/2))/(LN(2)/2)*V148*Y148*VLOOKUP('Données projet'!$B$9,Paramètres!$A$1:$I$89,3,0)*0.475*44/12</f>
        <v>1.4401432176238263E-12</v>
      </c>
      <c r="AC148" s="24">
        <f t="shared" si="111"/>
        <v>12.305840641554061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125.50615549487452</v>
      </c>
      <c r="T149" s="62">
        <f t="shared" si="142"/>
        <v>156.05798578195993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11.824867860606771</v>
      </c>
      <c r="AA149" s="23">
        <f>EXP(-LN(2)/25)*AA148+(1-EXP(-LN(2)/25))/(LN(2)/25)*Calculateur!V149*Calculateur!X149*VLOOKUP('Données projet'!$B$9,Paramètres!$A$1:$I$89,3,0)*0.475*44/12</f>
        <v>0.23777171963127389</v>
      </c>
      <c r="AB149" s="23">
        <f>EXP(-LN(2)/2)*AB148+(1-EXP(-LN(2)/2))/(LN(2)/2)*V149*Y149*VLOOKUP('Données projet'!$B$9,Paramètres!$A$1:$I$89,3,0)*0.475*44/12</f>
        <v>1.0183350350616214E-12</v>
      </c>
      <c r="AC149" s="24">
        <f t="shared" si="111"/>
        <v>12.062639580239063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125.50615549487452</v>
      </c>
      <c r="T150" s="62">
        <f t="shared" si="142"/>
        <v>156.05798578195993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11.592989414317497</v>
      </c>
      <c r="AA150" s="23">
        <f>EXP(-LN(2)/25)*AA149+(1-EXP(-LN(2)/25))/(LN(2)/25)*Calculateur!V150*Calculateur!X150*VLOOKUP('Données projet'!$B$9,Paramètres!$A$1:$I$89,3,0)*0.475*44/12</f>
        <v>0.23126983945408541</v>
      </c>
      <c r="AB150" s="23">
        <f>EXP(-LN(2)/2)*AB149+(1-EXP(-LN(2)/2))/(LN(2)/2)*V150*Y150*VLOOKUP('Données projet'!$B$9,Paramètres!$A$1:$I$89,3,0)*0.475*44/12</f>
        <v>7.2007160881191316E-13</v>
      </c>
      <c r="AC150" s="24">
        <f t="shared" si="111"/>
        <v>11.824259253772302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125.50615549487452</v>
      </c>
      <c r="T151" s="62">
        <f t="shared" si="142"/>
        <v>156.05798578195993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11.365657962928069</v>
      </c>
      <c r="AA151" s="23">
        <f>EXP(-LN(2)/25)*AA150+(1-EXP(-LN(2)/25))/(LN(2)/25)*Calculateur!V151*Calculateur!X151*VLOOKUP('Données projet'!$B$9,Paramètres!$A$1:$I$89,3,0)*0.475*44/12</f>
        <v>0.22494575353226118</v>
      </c>
      <c r="AB151" s="23">
        <f>EXP(-LN(2)/2)*AB150+(1-EXP(-LN(2)/2))/(LN(2)/2)*V151*Y151*VLOOKUP('Données projet'!$B$9,Paramètres!$A$1:$I$89,3,0)*0.475*44/12</f>
        <v>5.0916751753081072E-13</v>
      </c>
      <c r="AC151" s="24">
        <f t="shared" si="111"/>
        <v>11.590603716460839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125.50615549487452</v>
      </c>
      <c r="T152" s="62">
        <f t="shared" si="142"/>
        <v>156.05798578195993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11.142784342641892</v>
      </c>
      <c r="AA152" s="23">
        <f>EXP(-LN(2)/25)*AA151+(1-EXP(-LN(2)/25))/(LN(2)/25)*Calculateur!V152*Calculateur!X152*VLOOKUP('Données projet'!$B$9,Paramètres!$A$1:$I$89,3,0)*0.475*44/12</f>
        <v>0.21879460007253843</v>
      </c>
      <c r="AB152" s="23">
        <f>EXP(-LN(2)/2)*AB151+(1-EXP(-LN(2)/2))/(LN(2)/2)*V152*Y152*VLOOKUP('Données projet'!$B$9,Paramètres!$A$1:$I$89,3,0)*0.475*44/12</f>
        <v>3.6003580440595658E-13</v>
      </c>
      <c r="AC152" s="24">
        <f t="shared" si="111"/>
        <v>11.361578942714791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125.50615549487452</v>
      </c>
      <c r="T153" s="62">
        <f t="shared" si="142"/>
        <v>156.05798578195993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10.924281138110043</v>
      </c>
      <c r="AA153" s="23">
        <f>EXP(-LN(2)/25)*AA152+(1-EXP(-LN(2)/25))/(LN(2)/25)*Calculateur!V153*Calculateur!X153*VLOOKUP('Données projet'!$B$9,Paramètres!$A$1:$I$89,3,0)*0.475*44/12</f>
        <v>0.21281165022764689</v>
      </c>
      <c r="AB153" s="23">
        <f>EXP(-LN(2)/2)*AB152+(1-EXP(-LN(2)/2))/(LN(2)/2)*V153*Y153*VLOOKUP('Données projet'!$B$9,Paramètres!$A$1:$I$89,3,0)*0.475*44/12</f>
        <v>2.5458375876540536E-13</v>
      </c>
      <c r="AC153" s="24">
        <f t="shared" si="111"/>
        <v>11.137092788337943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125.50615549487452</v>
      </c>
      <c r="T154" s="62">
        <f t="shared" si="142"/>
        <v>156.05798578195993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10.710062648145268</v>
      </c>
      <c r="AA154" s="23">
        <f>EXP(-LN(2)/25)*AA153+(1-EXP(-LN(2)/25))/(LN(2)/25)*Calculateur!V154*Calculateur!X154*VLOOKUP('Données projet'!$B$9,Paramètres!$A$1:$I$89,3,0)*0.475*44/12</f>
        <v>0.20699230446089359</v>
      </c>
      <c r="AB154" s="23">
        <f>EXP(-LN(2)/2)*AB153+(1-EXP(-LN(2)/2))/(LN(2)/2)*V154*Y154*VLOOKUP('Données projet'!$B$9,Paramètres!$A$1:$I$89,3,0)*0.475*44/12</f>
        <v>1.8001790220297829E-13</v>
      </c>
      <c r="AC154" s="24">
        <f t="shared" ref="AC154:AC203" si="163">SUM(Z154:AB154)</f>
        <v>10.917054952606341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125.50615549487452</v>
      </c>
      <c r="T155" s="62">
        <f t="shared" si="142"/>
        <v>156.05798578195993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10.500044852108324</v>
      </c>
      <c r="AA155" s="23">
        <f>EXP(-LN(2)/25)*AA154+(1-EXP(-LN(2)/25))/(LN(2)/25)*Calculateur!V155*Calculateur!X155*VLOOKUP('Données projet'!$B$9,Paramètres!$A$1:$I$89,3,0)*0.475*44/12</f>
        <v>0.20133208901015825</v>
      </c>
      <c r="AB155" s="23">
        <f>EXP(-LN(2)/2)*AB154+(1-EXP(-LN(2)/2))/(LN(2)/2)*V155*Y155*VLOOKUP('Données projet'!$B$9,Paramètres!$A$1:$I$89,3,0)*0.475*44/12</f>
        <v>1.2729187938270268E-13</v>
      </c>
      <c r="AC155" s="24">
        <f t="shared" si="163"/>
        <v>10.70137694111861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125.50615549487452</v>
      </c>
      <c r="T156" s="62">
        <f t="shared" si="142"/>
        <v>156.05798578195993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10.294145376953459</v>
      </c>
      <c r="AA156" s="23">
        <f>EXP(-LN(2)/25)*AA155+(1-EXP(-LN(2)/25))/(LN(2)/25)*Calculateur!V156*Calculateur!X156*VLOOKUP('Données projet'!$B$9,Paramètres!$A$1:$I$89,3,0)*0.475*44/12</f>
        <v>0.19582665244858108</v>
      </c>
      <c r="AB156" s="23">
        <f>EXP(-LN(2)/2)*AB155+(1-EXP(-LN(2)/2))/(LN(2)/2)*V156*Y156*VLOOKUP('Données projet'!$B$9,Paramètres!$A$1:$I$89,3,0)*0.475*44/12</f>
        <v>9.0008951101489145E-14</v>
      </c>
      <c r="AC156" s="24">
        <f t="shared" si="163"/>
        <v>10.48997202940213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125.50615549487452</v>
      </c>
      <c r="T157" s="62">
        <f t="shared" si="142"/>
        <v>156.05798578195993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10.092283464920101</v>
      </c>
      <c r="AA157" s="23">
        <f>EXP(-LN(2)/25)*AA156+(1-EXP(-LN(2)/25))/(LN(2)/25)*Calculateur!V157*Calculateur!X157*VLOOKUP('Données projet'!$B$9,Paramètres!$A$1:$I$89,3,0)*0.475*44/12</f>
        <v>0.19047176233929855</v>
      </c>
      <c r="AB157" s="23">
        <f>EXP(-LN(2)/2)*AB156+(1-EXP(-LN(2)/2))/(LN(2)/2)*V157*Y157*VLOOKUP('Données projet'!$B$9,Paramètres!$A$1:$I$89,3,0)*0.475*44/12</f>
        <v>6.364593969135134E-14</v>
      </c>
      <c r="AC157" s="24">
        <f t="shared" si="163"/>
        <v>10.282755227259463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125.50615549487452</v>
      </c>
      <c r="T158" s="62">
        <f t="shared" si="142"/>
        <v>156.05798578195993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9.8943799418581087</v>
      </c>
      <c r="AA158" s="23">
        <f>EXP(-LN(2)/25)*AA157+(1-EXP(-LN(2)/25))/(LN(2)/25)*Calculateur!V158*Calculateur!X158*VLOOKUP('Données projet'!$B$9,Paramètres!$A$1:$I$89,3,0)*0.475*44/12</f>
        <v>0.18526330198165578</v>
      </c>
      <c r="AB158" s="23">
        <f>EXP(-LN(2)/2)*AB157+(1-EXP(-LN(2)/2))/(LN(2)/2)*V158*Y158*VLOOKUP('Données projet'!$B$9,Paramètres!$A$1:$I$89,3,0)*0.475*44/12</f>
        <v>4.5004475550744572E-14</v>
      </c>
      <c r="AC158" s="24">
        <f t="shared" si="163"/>
        <v>10.07964324383981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125.50615549487452</v>
      </c>
      <c r="T159" s="62">
        <f t="shared" si="142"/>
        <v>156.05798578195993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9.7003571861741307</v>
      </c>
      <c r="AA159" s="23">
        <f>EXP(-LN(2)/25)*AA158+(1-EXP(-LN(2)/25))/(LN(2)/25)*Calculateur!V159*Calculateur!X159*VLOOKUP('Données projet'!$B$9,Paramètres!$A$1:$I$89,3,0)*0.475*44/12</f>
        <v>0.18019726724639376</v>
      </c>
      <c r="AB159" s="23">
        <f>EXP(-LN(2)/2)*AB158+(1-EXP(-LN(2)/2))/(LN(2)/2)*V159*Y159*VLOOKUP('Données projet'!$B$9,Paramètres!$A$1:$I$89,3,0)*0.475*44/12</f>
        <v>3.182296984567567E-14</v>
      </c>
      <c r="AC159" s="24">
        <f t="shared" si="163"/>
        <v>9.8805544534205563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125.50615549487452</v>
      </c>
      <c r="T160" s="62">
        <f t="shared" si="142"/>
        <v>156.05798578195993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9.5101390983869205</v>
      </c>
      <c r="AA160" s="23">
        <f>EXP(-LN(2)/25)*AA159+(1-EXP(-LN(2)/25))/(LN(2)/25)*Calculateur!V160*Calculateur!X160*VLOOKUP('Données projet'!$B$9,Paramètres!$A$1:$I$89,3,0)*0.475*44/12</f>
        <v>0.17526976349737869</v>
      </c>
      <c r="AB160" s="23">
        <f>EXP(-LN(2)/2)*AB159+(1-EXP(-LN(2)/2))/(LN(2)/2)*V160*Y160*VLOOKUP('Données projet'!$B$9,Paramètres!$A$1:$I$89,3,0)*0.475*44/12</f>
        <v>2.2502237775372286E-14</v>
      </c>
      <c r="AC160" s="24">
        <f t="shared" si="163"/>
        <v>9.6854088618843228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125.50615549487452</v>
      </c>
      <c r="T161" s="62">
        <f t="shared" si="142"/>
        <v>156.05798578195993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9.3236510712796399</v>
      </c>
      <c r="AA161" s="23">
        <f>EXP(-LN(2)/25)*AA160+(1-EXP(-LN(2)/25))/(LN(2)/25)*Calculateur!V161*Calculateur!X161*VLOOKUP('Données projet'!$B$9,Paramètres!$A$1:$I$89,3,0)*0.475*44/12</f>
        <v>0.17047700259750659</v>
      </c>
      <c r="AB161" s="23">
        <f>EXP(-LN(2)/2)*AB160+(1-EXP(-LN(2)/2))/(LN(2)/2)*V161*Y161*VLOOKUP('Données projet'!$B$9,Paramètres!$A$1:$I$89,3,0)*0.475*44/12</f>
        <v>1.5911484922837835E-14</v>
      </c>
      <c r="AC161" s="24">
        <f t="shared" si="163"/>
        <v>9.4941280738771621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125.50615549487452</v>
      </c>
      <c r="T162" s="62">
        <f t="shared" si="142"/>
        <v>156.05798578195993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9.1408199606374687</v>
      </c>
      <c r="AA162" s="23">
        <f>EXP(-LN(2)/25)*AA161+(1-EXP(-LN(2)/25))/(LN(2)/25)*Calculateur!V162*Calculateur!X162*VLOOKUP('Données projet'!$B$9,Paramètres!$A$1:$I$89,3,0)*0.475*44/12</f>
        <v>0.16581529999648184</v>
      </c>
      <c r="AB162" s="23">
        <f>EXP(-LN(2)/2)*AB161+(1-EXP(-LN(2)/2))/(LN(2)/2)*V162*Y162*VLOOKUP('Données projet'!$B$9,Paramètres!$A$1:$I$89,3,0)*0.475*44/12</f>
        <v>1.1251118887686143E-14</v>
      </c>
      <c r="AC162" s="24">
        <f t="shared" si="163"/>
        <v>9.3066352606339606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125.50615549487452</v>
      </c>
      <c r="T163" s="62">
        <f t="shared" si="142"/>
        <v>156.05798578195993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8.9615740565590247</v>
      </c>
      <c r="AA163" s="23">
        <f>EXP(-LN(2)/25)*AA162+(1-EXP(-LN(2)/25))/(LN(2)/25)*Calculateur!V163*Calculateur!X163*VLOOKUP('Données projet'!$B$9,Paramètres!$A$1:$I$89,3,0)*0.475*44/12</f>
        <v>0.1612810718982304</v>
      </c>
      <c r="AB163" s="23">
        <f>EXP(-LN(2)/2)*AB162+(1-EXP(-LN(2)/2))/(LN(2)/2)*V163*Y163*VLOOKUP('Données projet'!$B$9,Paramètres!$A$1:$I$89,3,0)*0.475*44/12</f>
        <v>7.9557424614189175E-15</v>
      </c>
      <c r="AC163" s="24">
        <f t="shared" si="163"/>
        <v>9.1228551284572621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125.50615549487452</v>
      </c>
      <c r="T164" s="62">
        <f t="shared" si="142"/>
        <v>156.05798578195993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8.7858430553303517</v>
      </c>
      <c r="AA164" s="23">
        <f>EXP(-LN(2)/25)*AA163+(1-EXP(-LN(2)/25))/(LN(2)/25)*Calculateur!V164*Calculateur!X164*VLOOKUP('Données projet'!$B$9,Paramètres!$A$1:$I$89,3,0)*0.475*44/12</f>
        <v>0.15687083250577033</v>
      </c>
      <c r="AB164" s="23">
        <f>EXP(-LN(2)/2)*AB163+(1-EXP(-LN(2)/2))/(LN(2)/2)*V164*Y164*VLOOKUP('Données projet'!$B$9,Paramètres!$A$1:$I$89,3,0)*0.475*44/12</f>
        <v>5.6255594438430715E-15</v>
      </c>
      <c r="AC164" s="24">
        <f t="shared" si="163"/>
        <v>8.9427138878361276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125.50615549487452</v>
      </c>
      <c r="T165" s="62">
        <f t="shared" si="142"/>
        <v>156.05798578195993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8.613558031850447</v>
      </c>
      <c r="AA165" s="23">
        <f>EXP(-LN(2)/25)*AA164+(1-EXP(-LN(2)/25))/(LN(2)/25)*Calculateur!V165*Calculateur!X165*VLOOKUP('Données projet'!$B$9,Paramètres!$A$1:$I$89,3,0)*0.475*44/12</f>
        <v>0.15258119134142148</v>
      </c>
      <c r="AB165" s="23">
        <f>EXP(-LN(2)/2)*AB164+(1-EXP(-LN(2)/2))/(LN(2)/2)*V165*Y165*VLOOKUP('Données projet'!$B$9,Paramètres!$A$1:$I$89,3,0)*0.475*44/12</f>
        <v>3.9778712307094588E-15</v>
      </c>
      <c r="AC165" s="24">
        <f t="shared" si="163"/>
        <v>8.7661392231918729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125.50615549487452</v>
      </c>
      <c r="T166" s="62">
        <f t="shared" si="142"/>
        <v>156.05798578195993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8.4446514125974943</v>
      </c>
      <c r="AA166" s="23">
        <f>EXP(-LN(2)/25)*AA165+(1-EXP(-LN(2)/25))/(LN(2)/25)*Calculateur!V166*Calculateur!X166*VLOOKUP('Données projet'!$B$9,Paramètres!$A$1:$I$89,3,0)*0.475*44/12</f>
        <v>0.14840885064029419</v>
      </c>
      <c r="AB166" s="23">
        <f>EXP(-LN(2)/2)*AB165+(1-EXP(-LN(2)/2))/(LN(2)/2)*V166*Y166*VLOOKUP('Données projet'!$B$9,Paramètres!$A$1:$I$89,3,0)*0.475*44/12</f>
        <v>2.8127797219215358E-15</v>
      </c>
      <c r="AC166" s="24">
        <f t="shared" si="163"/>
        <v>8.5930602632377919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125.50615549487452</v>
      </c>
      <c r="T167" s="62">
        <f t="shared" si="142"/>
        <v>156.05798578195993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8.279056949125227</v>
      </c>
      <c r="AA167" s="23">
        <f>EXP(-LN(2)/25)*AA166+(1-EXP(-LN(2)/25))/(LN(2)/25)*Calculateur!V167*Calculateur!X167*VLOOKUP('Données projet'!$B$9,Paramètres!$A$1:$I$89,3,0)*0.475*44/12</f>
        <v>0.14435060281505308</v>
      </c>
      <c r="AB167" s="23">
        <f>EXP(-LN(2)/2)*AB166+(1-EXP(-LN(2)/2))/(LN(2)/2)*V167*Y167*VLOOKUP('Données projet'!$B$9,Paramètres!$A$1:$I$89,3,0)*0.475*44/12</f>
        <v>1.9889356153547294E-15</v>
      </c>
      <c r="AC167" s="24">
        <f t="shared" si="163"/>
        <v>8.4234075519402811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125.50615549487452</v>
      </c>
      <c r="T168" s="62">
        <f t="shared" si="142"/>
        <v>156.05798578195993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8.1167096920790005</v>
      </c>
      <c r="AA168" s="23">
        <f>EXP(-LN(2)/25)*AA167+(1-EXP(-LN(2)/25))/(LN(2)/25)*Calculateur!V168*Calculateur!X168*VLOOKUP('Données projet'!$B$9,Paramètres!$A$1:$I$89,3,0)*0.475*44/12</f>
        <v>0.14040332799000715</v>
      </c>
      <c r="AB168" s="23">
        <f>EXP(-LN(2)/2)*AB167+(1-EXP(-LN(2)/2))/(LN(2)/2)*V168*Y168*VLOOKUP('Données projet'!$B$9,Paramètres!$A$1:$I$89,3,0)*0.475*44/12</f>
        <v>1.4063898609607679E-15</v>
      </c>
      <c r="AC168" s="24">
        <f t="shared" si="163"/>
        <v>8.2571130200690099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125.50615549487452</v>
      </c>
      <c r="T169" s="62">
        <f t="shared" si="142"/>
        <v>156.05798578195993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7.957545965721402</v>
      </c>
      <c r="AA169" s="23">
        <f>EXP(-LN(2)/25)*AA168+(1-EXP(-LN(2)/25))/(LN(2)/25)*Calculateur!V169*Calculateur!X169*VLOOKUP('Données projet'!$B$9,Paramètres!$A$1:$I$89,3,0)*0.475*44/12</f>
        <v>0.13656399160263027</v>
      </c>
      <c r="AB169" s="23">
        <f>EXP(-LN(2)/2)*AB168+(1-EXP(-LN(2)/2))/(LN(2)/2)*V169*Y169*VLOOKUP('Données projet'!$B$9,Paramètres!$A$1:$I$89,3,0)*0.475*44/12</f>
        <v>9.9446780767736469E-16</v>
      </c>
      <c r="AC169" s="24">
        <f t="shared" si="163"/>
        <v>8.0941099573240347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125.50615549487452</v>
      </c>
      <c r="T170" s="62">
        <f t="shared" si="142"/>
        <v>156.05798578195993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7.801503342957389</v>
      </c>
      <c r="AA170" s="23">
        <f>EXP(-LN(2)/25)*AA169+(1-EXP(-LN(2)/25))/(LN(2)/25)*Calculateur!V170*Calculateur!X170*VLOOKUP('Données projet'!$B$9,Paramètres!$A$1:$I$89,3,0)*0.475*44/12</f>
        <v>0.13282964207066816</v>
      </c>
      <c r="AB170" s="23">
        <f>EXP(-LN(2)/2)*AB169+(1-EXP(-LN(2)/2))/(LN(2)/2)*V170*Y170*VLOOKUP('Données projet'!$B$9,Paramètres!$A$1:$I$89,3,0)*0.475*44/12</f>
        <v>7.0319493048038394E-16</v>
      </c>
      <c r="AC170" s="24">
        <f t="shared" si="163"/>
        <v>7.9343329850280577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125.50615549487452</v>
      </c>
      <c r="T171" s="62">
        <f t="shared" si="142"/>
        <v>156.05798578195993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7.6485206208491761</v>
      </c>
      <c r="AA171" s="23">
        <f>EXP(-LN(2)/25)*AA170+(1-EXP(-LN(2)/25))/(LN(2)/25)*Calculateur!V171*Calculateur!X171*VLOOKUP('Données projet'!$B$9,Paramètres!$A$1:$I$89,3,0)*0.475*44/12</f>
        <v>0.12919740852303846</v>
      </c>
      <c r="AB171" s="23">
        <f>EXP(-LN(2)/2)*AB170+(1-EXP(-LN(2)/2))/(LN(2)/2)*V171*Y171*VLOOKUP('Données projet'!$B$9,Paramètres!$A$1:$I$89,3,0)*0.475*44/12</f>
        <v>4.9723390383868235E-16</v>
      </c>
      <c r="AC171" s="24">
        <f t="shared" si="163"/>
        <v>7.777718029372215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125.50615549487452</v>
      </c>
      <c r="T172" s="62">
        <f t="shared" si="142"/>
        <v>156.05798578195993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7.4985377966112585</v>
      </c>
      <c r="AA172" s="23">
        <f>EXP(-LN(2)/25)*AA171+(1-EXP(-LN(2)/25))/(LN(2)/25)*Calculateur!V172*Calculateur!X172*VLOOKUP('Données projet'!$B$9,Paramètres!$A$1:$I$89,3,0)*0.475*44/12</f>
        <v>0.12566449859277953</v>
      </c>
      <c r="AB172" s="23">
        <f>EXP(-LN(2)/2)*AB171+(1-EXP(-LN(2)/2))/(LN(2)/2)*V172*Y172*VLOOKUP('Données projet'!$B$9,Paramètres!$A$1:$I$89,3,0)*0.475*44/12</f>
        <v>3.5159746524019197E-16</v>
      </c>
      <c r="AC172" s="24">
        <f t="shared" si="163"/>
        <v>7.6242022952040385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125.50615549487452</v>
      </c>
      <c r="T173" s="62">
        <f t="shared" si="142"/>
        <v>156.05798578195993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7.351496044076157</v>
      </c>
      <c r="AA173" s="23">
        <f>EXP(-LN(2)/25)*AA172+(1-EXP(-LN(2)/25))/(LN(2)/25)*Calculateur!V173*Calculateur!X173*VLOOKUP('Données projet'!$B$9,Paramètres!$A$1:$I$89,3,0)*0.475*44/12</f>
        <v>0.12222819627035121</v>
      </c>
      <c r="AB173" s="23">
        <f>EXP(-LN(2)/2)*AB172+(1-EXP(-LN(2)/2))/(LN(2)/2)*V173*Y173*VLOOKUP('Données projet'!$B$9,Paramètres!$A$1:$I$89,3,0)*0.475*44/12</f>
        <v>2.4861695191934117E-16</v>
      </c>
      <c r="AC173" s="24">
        <f t="shared" si="163"/>
        <v>7.4737242403465078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125.50615549487452</v>
      </c>
      <c r="T174" s="62">
        <f t="shared" si="142"/>
        <v>156.05798578195993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7.2073376906216549</v>
      </c>
      <c r="AA174" s="23">
        <f>EXP(-LN(2)/25)*AA173+(1-EXP(-LN(2)/25))/(LN(2)/25)*Calculateur!V174*Calculateur!X174*VLOOKUP('Données projet'!$B$9,Paramètres!$A$1:$I$89,3,0)*0.475*44/12</f>
        <v>0.11888585981563697</v>
      </c>
      <c r="AB174" s="23">
        <f>EXP(-LN(2)/2)*AB173+(1-EXP(-LN(2)/2))/(LN(2)/2)*V174*Y174*VLOOKUP('Données projet'!$B$9,Paramètres!$A$1:$I$89,3,0)*0.475*44/12</f>
        <v>1.7579873262009599E-16</v>
      </c>
      <c r="AC174" s="24">
        <f t="shared" si="163"/>
        <v>7.3262235504372919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125.50615549487452</v>
      </c>
      <c r="T175" s="62">
        <f t="shared" si="142"/>
        <v>156.05798578195993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7.0660061945504822</v>
      </c>
      <c r="AA175" s="23">
        <f>EXP(-LN(2)/25)*AA174+(1-EXP(-LN(2)/25))/(LN(2)/25)*Calculateur!V175*Calculateur!X175*VLOOKUP('Données projet'!$B$9,Paramètres!$A$1:$I$89,3,0)*0.475*44/12</f>
        <v>0.11563491972704273</v>
      </c>
      <c r="AB175" s="23">
        <f>EXP(-LN(2)/2)*AB174+(1-EXP(-LN(2)/2))/(LN(2)/2)*V175*Y175*VLOOKUP('Données projet'!$B$9,Paramètres!$A$1:$I$89,3,0)*0.475*44/12</f>
        <v>1.2430847595967059E-16</v>
      </c>
      <c r="AC175" s="24">
        <f t="shared" si="163"/>
        <v>7.1816411142775252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125.50615549487452</v>
      </c>
      <c r="T176" s="62">
        <f t="shared" si="142"/>
        <v>156.05798578195993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6.9274461229135644</v>
      </c>
      <c r="AA176" s="23">
        <f>EXP(-LN(2)/25)*AA175+(1-EXP(-LN(2)/25))/(LN(2)/25)*Calculateur!V176*Calculateur!X176*VLOOKUP('Données projet'!$B$9,Paramètres!$A$1:$I$89,3,0)*0.475*44/12</f>
        <v>0.1124728767661306</v>
      </c>
      <c r="AB176" s="23">
        <f>EXP(-LN(2)/2)*AB175+(1-EXP(-LN(2)/2))/(LN(2)/2)*V176*Y176*VLOOKUP('Données projet'!$B$9,Paramètres!$A$1:$I$89,3,0)*0.475*44/12</f>
        <v>8.7899366310047993E-17</v>
      </c>
      <c r="AC176" s="24">
        <f t="shared" si="163"/>
        <v>7.0399189996796947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125.50615549487452</v>
      </c>
      <c r="T177" s="62">
        <f t="shared" si="142"/>
        <v>156.05798578195993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6.7916031297681485</v>
      </c>
      <c r="AA177" s="23">
        <f>EXP(-LN(2)/25)*AA176+(1-EXP(-LN(2)/25))/(LN(2)/25)*Calculateur!V177*Calculateur!X177*VLOOKUP('Données projet'!$B$9,Paramètres!$A$1:$I$89,3,0)*0.475*44/12</f>
        <v>0.10939730003626923</v>
      </c>
      <c r="AB177" s="23">
        <f>EXP(-LN(2)/2)*AB176+(1-EXP(-LN(2)/2))/(LN(2)/2)*V177*Y177*VLOOKUP('Données projet'!$B$9,Paramètres!$A$1:$I$89,3,0)*0.475*44/12</f>
        <v>6.2154237979835293E-17</v>
      </c>
      <c r="AC177" s="24">
        <f t="shared" si="163"/>
        <v>6.9010004298044176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125.50615549487452</v>
      </c>
      <c r="T178" s="62">
        <f t="shared" si="142"/>
        <v>156.05798578195993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6.6584239348622694</v>
      </c>
      <c r="AA178" s="23">
        <f>EXP(-LN(2)/25)*AA177+(1-EXP(-LN(2)/25))/(LN(2)/25)*Calculateur!V178*Calculateur!X178*VLOOKUP('Données projet'!$B$9,Paramètres!$A$1:$I$89,3,0)*0.475*44/12</f>
        <v>0.10640582511382346</v>
      </c>
      <c r="AB178" s="23">
        <f>EXP(-LN(2)/2)*AB177+(1-EXP(-LN(2)/2))/(LN(2)/2)*V178*Y178*VLOOKUP('Données projet'!$B$9,Paramètres!$A$1:$I$89,3,0)*0.475*44/12</f>
        <v>4.3949683155023996E-17</v>
      </c>
      <c r="AC178" s="24">
        <f t="shared" si="163"/>
        <v>6.7648297599760925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125.50615549487452</v>
      </c>
      <c r="T179" s="62">
        <f t="shared" si="142"/>
        <v>156.05798578195993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6.5278563027372067</v>
      </c>
      <c r="AA179" s="23">
        <f>EXP(-LN(2)/25)*AA178+(1-EXP(-LN(2)/25))/(LN(2)/25)*Calculateur!V179*Calculateur!X179*VLOOKUP('Données projet'!$B$9,Paramètres!$A$1:$I$89,3,0)*0.475*44/12</f>
        <v>0.10349615223044681</v>
      </c>
      <c r="AB179" s="23">
        <f>EXP(-LN(2)/2)*AB178+(1-EXP(-LN(2)/2))/(LN(2)/2)*V179*Y179*VLOOKUP('Données projet'!$B$9,Paramètres!$A$1:$I$89,3,0)*0.475*44/12</f>
        <v>3.1077118989917647E-17</v>
      </c>
      <c r="AC179" s="24">
        <f t="shared" si="163"/>
        <v>6.6313524549676535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125.50615549487452</v>
      </c>
      <c r="T180" s="62">
        <f t="shared" si="142"/>
        <v>156.05798578195993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6.3998490222397244</v>
      </c>
      <c r="AA180" s="23">
        <f>EXP(-LN(2)/25)*AA179+(1-EXP(-LN(2)/25))/(LN(2)/25)*Calculateur!V180*Calculateur!X180*VLOOKUP('Données projet'!$B$9,Paramètres!$A$1:$I$89,3,0)*0.475*44/12</f>
        <v>0.10066604450507914</v>
      </c>
      <c r="AB180" s="23">
        <f>EXP(-LN(2)/2)*AB179+(1-EXP(-LN(2)/2))/(LN(2)/2)*V180*Y180*VLOOKUP('Données projet'!$B$9,Paramètres!$A$1:$I$89,3,0)*0.475*44/12</f>
        <v>2.1974841577511998E-17</v>
      </c>
      <c r="AC180" s="24">
        <f t="shared" si="163"/>
        <v>6.5005150667448035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125.50615549487452</v>
      </c>
      <c r="T181" s="62">
        <f t="shared" si="142"/>
        <v>156.05798578195993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6.2743518864360661</v>
      </c>
      <c r="AA181" s="23">
        <f>EXP(-LN(2)/25)*AA180+(1-EXP(-LN(2)/25))/(LN(2)/25)*Calculateur!V181*Calculateur!X181*VLOOKUP('Données projet'!$B$9,Paramètres!$A$1:$I$89,3,0)*0.475*44/12</f>
        <v>9.7913326224290553E-2</v>
      </c>
      <c r="AB181" s="23">
        <f>EXP(-LN(2)/2)*AB180+(1-EXP(-LN(2)/2))/(LN(2)/2)*V181*Y181*VLOOKUP('Données projet'!$B$9,Paramètres!$A$1:$I$89,3,0)*0.475*44/12</f>
        <v>1.5538559494958823E-17</v>
      </c>
      <c r="AC181" s="24">
        <f t="shared" si="163"/>
        <v>6.3722652126603565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125.50615549487452</v>
      </c>
      <c r="T182" s="62">
        <f t="shared" si="142"/>
        <v>156.05798578195993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6.1513156729198233</v>
      </c>
      <c r="AA182" s="23">
        <f>EXP(-LN(2)/25)*AA181+(1-EXP(-LN(2)/25))/(LN(2)/25)*Calculateur!V182*Calculateur!X182*VLOOKUP('Données projet'!$B$9,Paramètres!$A$1:$I$89,3,0)*0.475*44/12</f>
        <v>9.5235881169649289E-2</v>
      </c>
      <c r="AB182" s="23">
        <f>EXP(-LN(2)/2)*AB181+(1-EXP(-LN(2)/2))/(LN(2)/2)*V182*Y182*VLOOKUP('Données projet'!$B$9,Paramètres!$A$1:$I$89,3,0)*0.475*44/12</f>
        <v>1.0987420788755999E-17</v>
      </c>
      <c r="AC182" s="24">
        <f t="shared" si="163"/>
        <v>6.2465515540894723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125.50615549487452</v>
      </c>
      <c r="T183" s="62">
        <f t="shared" si="142"/>
        <v>156.05798578195993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6.0306921245059533</v>
      </c>
      <c r="AA183" s="23">
        <f>EXP(-LN(2)/25)*AA182+(1-EXP(-LN(2)/25))/(LN(2)/25)*Calculateur!V183*Calculateur!X183*VLOOKUP('Données projet'!$B$9,Paramètres!$A$1:$I$89,3,0)*0.475*44/12</f>
        <v>9.2631650990827902E-2</v>
      </c>
      <c r="AB183" s="23">
        <f>EXP(-LN(2)/2)*AB182+(1-EXP(-LN(2)/2))/(LN(2)/2)*V183*Y183*VLOOKUP('Données projet'!$B$9,Paramètres!$A$1:$I$89,3,0)*0.475*44/12</f>
        <v>7.7692797474794117E-18</v>
      </c>
      <c r="AC183" s="24">
        <f t="shared" si="163"/>
        <v>6.1233237754967815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125.50615549487452</v>
      </c>
      <c r="T184" s="62">
        <f t="shared" si="142"/>
        <v>156.05798578195993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5.9124339303033793</v>
      </c>
      <c r="AA184" s="23">
        <f>EXP(-LN(2)/25)*AA183+(1-EXP(-LN(2)/25))/(LN(2)/25)*Calculateur!V184*Calculateur!X184*VLOOKUP('Données projet'!$B$9,Paramètres!$A$1:$I$89,3,0)*0.475*44/12</f>
        <v>9.0098633623196894E-2</v>
      </c>
      <c r="AB184" s="23">
        <f>EXP(-LN(2)/2)*AB183+(1-EXP(-LN(2)/2))/(LN(2)/2)*V184*Y184*VLOOKUP('Données projet'!$B$9,Paramètres!$A$1:$I$89,3,0)*0.475*44/12</f>
        <v>5.4937103943779995E-18</v>
      </c>
      <c r="AC184" s="24">
        <f t="shared" si="163"/>
        <v>6.0025325639265761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125.50615549487452</v>
      </c>
      <c r="T185" s="62">
        <f t="shared" si="142"/>
        <v>156.05798578195993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5.7964947071587423</v>
      </c>
      <c r="AA185" s="23">
        <f>EXP(-LN(2)/25)*AA184+(1-EXP(-LN(2)/25))/(LN(2)/25)*Calculateur!V185*Calculateur!X185*VLOOKUP('Données projet'!$B$9,Paramètres!$A$1:$I$89,3,0)*0.475*44/12</f>
        <v>8.7634881748689358E-2</v>
      </c>
      <c r="AB185" s="23">
        <f>EXP(-LN(2)/2)*AB184+(1-EXP(-LN(2)/2))/(LN(2)/2)*V185*Y185*VLOOKUP('Données projet'!$B$9,Paramètres!$A$1:$I$89,3,0)*0.475*44/12</f>
        <v>3.8846398737397058E-18</v>
      </c>
      <c r="AC185" s="24">
        <f t="shared" si="163"/>
        <v>5.8841295889074319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125.50615549487452</v>
      </c>
      <c r="T186" s="62">
        <f t="shared" si="142"/>
        <v>156.05798578195993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5.682828981464028</v>
      </c>
      <c r="AA186" s="23">
        <f>EXP(-LN(2)/25)*AA185+(1-EXP(-LN(2)/25))/(LN(2)/25)*Calculateur!V186*Calculateur!X186*VLOOKUP('Données projet'!$B$9,Paramètres!$A$1:$I$89,3,0)*0.475*44/12</f>
        <v>8.5238501298753308E-2</v>
      </c>
      <c r="AB186" s="23">
        <f>EXP(-LN(2)/2)*AB185+(1-EXP(-LN(2)/2))/(LN(2)/2)*V186*Y186*VLOOKUP('Données projet'!$B$9,Paramètres!$A$1:$I$89,3,0)*0.475*44/12</f>
        <v>2.7468551971889998E-18</v>
      </c>
      <c r="AC186" s="24">
        <f t="shared" si="163"/>
        <v>5.7680674827627811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125.50615549487452</v>
      </c>
      <c r="T187" s="62">
        <f t="shared" si="142"/>
        <v>156.05798578195993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5.57139217132094</v>
      </c>
      <c r="AA187" s="23">
        <f>EXP(-LN(2)/25)*AA186+(1-EXP(-LN(2)/25))/(LN(2)/25)*Calculateur!V187*Calculateur!X187*VLOOKUP('Données projet'!$B$9,Paramètres!$A$1:$I$89,3,0)*0.475*44/12</f>
        <v>8.2907649998240934E-2</v>
      </c>
      <c r="AB187" s="23">
        <f>EXP(-LN(2)/2)*AB186+(1-EXP(-LN(2)/2))/(LN(2)/2)*V187*Y187*VLOOKUP('Données projet'!$B$9,Paramètres!$A$1:$I$89,3,0)*0.475*44/12</f>
        <v>1.9423199368698529E-18</v>
      </c>
      <c r="AC187" s="24">
        <f t="shared" si="163"/>
        <v>5.6542998213191806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125.50615549487452</v>
      </c>
      <c r="T188" s="62">
        <f t="shared" si="142"/>
        <v>156.05798578195993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5.4621405690550153</v>
      </c>
      <c r="AA188" s="23">
        <f>EXP(-LN(2)/25)*AA187+(1-EXP(-LN(2)/25))/(LN(2)/25)*Calculateur!V188*Calculateur!X188*VLOOKUP('Données projet'!$B$9,Paramètres!$A$1:$I$89,3,0)*0.475*44/12</f>
        <v>8.0640535949115216E-2</v>
      </c>
      <c r="AB188" s="23">
        <f>EXP(-LN(2)/2)*AB187+(1-EXP(-LN(2)/2))/(LN(2)/2)*V188*Y188*VLOOKUP('Données projet'!$B$9,Paramètres!$A$1:$I$89,3,0)*0.475*44/12</f>
        <v>1.3734275985944999E-18</v>
      </c>
      <c r="AC188" s="24">
        <f t="shared" si="163"/>
        <v>5.5427811050041305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125.50615549487452</v>
      </c>
      <c r="T189" s="62">
        <f t="shared" si="142"/>
        <v>156.05798578195993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5.3550313240726277</v>
      </c>
      <c r="AA189" s="23">
        <f>EXP(-LN(2)/25)*AA188+(1-EXP(-LN(2)/25))/(LN(2)/25)*Calculateur!V189*Calculateur!X189*VLOOKUP('Données projet'!$B$9,Paramètres!$A$1:$I$89,3,0)*0.475*44/12</f>
        <v>7.8435416252885179E-2</v>
      </c>
      <c r="AB189" s="23">
        <f>EXP(-LN(2)/2)*AB188+(1-EXP(-LN(2)/2))/(LN(2)/2)*V189*Y189*VLOOKUP('Données projet'!$B$9,Paramètres!$A$1:$I$89,3,0)*0.475*44/12</f>
        <v>9.7115996843492646E-19</v>
      </c>
      <c r="AC189" s="24">
        <f t="shared" si="163"/>
        <v>5.433466740325513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125.50615549487452</v>
      </c>
      <c r="T190" s="62">
        <f t="shared" si="142"/>
        <v>156.05798578195993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5.2500224260541559</v>
      </c>
      <c r="AA190" s="23">
        <f>EXP(-LN(2)/25)*AA189+(1-EXP(-LN(2)/25))/(LN(2)/25)*Calculateur!V190*Calculateur!X190*VLOOKUP('Données projet'!$B$9,Paramètres!$A$1:$I$89,3,0)*0.475*44/12</f>
        <v>7.6290595670710754E-2</v>
      </c>
      <c r="AB190" s="23">
        <f>EXP(-LN(2)/2)*AB189+(1-EXP(-LN(2)/2))/(LN(2)/2)*V190*Y190*VLOOKUP('Données projet'!$B$9,Paramètres!$A$1:$I$89,3,0)*0.475*44/12</f>
        <v>6.8671379929724994E-19</v>
      </c>
      <c r="AC190" s="24">
        <f t="shared" si="163"/>
        <v>5.3263130217248671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125.50615549487452</v>
      </c>
      <c r="T191" s="62">
        <f t="shared" si="142"/>
        <v>156.05798578195993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5.1470726884767233</v>
      </c>
      <c r="AA191" s="23">
        <f>EXP(-LN(2)/25)*AA190+(1-EXP(-LN(2)/25))/(LN(2)/25)*Calculateur!V191*Calculateur!X191*VLOOKUP('Données projet'!$B$9,Paramètres!$A$1:$I$89,3,0)*0.475*44/12</f>
        <v>7.4204425320147108E-2</v>
      </c>
      <c r="AB191" s="23">
        <f>EXP(-LN(2)/2)*AB190+(1-EXP(-LN(2)/2))/(LN(2)/2)*V191*Y191*VLOOKUP('Données projet'!$B$9,Paramètres!$A$1:$I$89,3,0)*0.475*44/12</f>
        <v>4.8557998421746323E-19</v>
      </c>
      <c r="AC191" s="24">
        <f t="shared" si="163"/>
        <v>5.2212771137968703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125.50615549487452</v>
      </c>
      <c r="T192" s="62">
        <f t="shared" si="142"/>
        <v>156.05798578195993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5.0461417324600442</v>
      </c>
      <c r="AA192" s="23">
        <f>EXP(-LN(2)/25)*AA191+(1-EXP(-LN(2)/25))/(LN(2)/25)*Calculateur!V192*Calculateur!X192*VLOOKUP('Données projet'!$B$9,Paramètres!$A$1:$I$89,3,0)*0.475*44/12</f>
        <v>7.2175301407526551E-2</v>
      </c>
      <c r="AB192" s="23">
        <f>EXP(-LN(2)/2)*AB191+(1-EXP(-LN(2)/2))/(LN(2)/2)*V192*Y192*VLOOKUP('Données projet'!$B$9,Paramètres!$A$1:$I$89,3,0)*0.475*44/12</f>
        <v>3.4335689964862497E-19</v>
      </c>
      <c r="AC192" s="24">
        <f t="shared" si="163"/>
        <v>5.1183170338675703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125.50615549487452</v>
      </c>
      <c r="T193" s="62">
        <f t="shared" si="142"/>
        <v>156.05798578195993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4.9471899709290481</v>
      </c>
      <c r="AA193" s="23">
        <f>EXP(-LN(2)/25)*AA192+(1-EXP(-LN(2)/25))/(LN(2)/25)*Calculateur!V193*Calculateur!X193*VLOOKUP('Données projet'!$B$9,Paramètres!$A$1:$I$89,3,0)*0.475*44/12</f>
        <v>7.0201663995003591E-2</v>
      </c>
      <c r="AB193" s="23">
        <f>EXP(-LN(2)/2)*AB192+(1-EXP(-LN(2)/2))/(LN(2)/2)*V193*Y193*VLOOKUP('Données projet'!$B$9,Paramètres!$A$1:$I$89,3,0)*0.475*44/12</f>
        <v>2.4278999210873161E-19</v>
      </c>
      <c r="AC193" s="24">
        <f t="shared" si="163"/>
        <v>5.0173916349240519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125.50615549487452</v>
      </c>
      <c r="T194" s="62">
        <f t="shared" si="142"/>
        <v>156.05798578195993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4.8501785930870591</v>
      </c>
      <c r="AA194" s="23">
        <f>EXP(-LN(2)/25)*AA193+(1-EXP(-LN(2)/25))/(LN(2)/25)*Calculateur!V194*Calculateur!X194*VLOOKUP('Données projet'!$B$9,Paramètres!$A$1:$I$89,3,0)*0.475*44/12</f>
        <v>6.8281995801315151E-2</v>
      </c>
      <c r="AB194" s="23">
        <f>EXP(-LN(2)/2)*AB193+(1-EXP(-LN(2)/2))/(LN(2)/2)*V194*Y194*VLOOKUP('Données projet'!$B$9,Paramètres!$A$1:$I$89,3,0)*0.475*44/12</f>
        <v>1.7167844982431249E-19</v>
      </c>
      <c r="AC194" s="24">
        <f t="shared" si="163"/>
        <v>4.9184605888883741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125.50615549487452</v>
      </c>
      <c r="T195" s="62">
        <f t="shared" si="142"/>
        <v>156.05798578195993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4.755069549193454</v>
      </c>
      <c r="AA195" s="23">
        <f>EXP(-LN(2)/25)*AA194+(1-EXP(-LN(2)/25))/(LN(2)/25)*Calculateur!V195*Calculateur!X195*VLOOKUP('Données projet'!$B$9,Paramètres!$A$1:$I$89,3,0)*0.475*44/12</f>
        <v>6.6414821035334096E-2</v>
      </c>
      <c r="AB195" s="23">
        <f>EXP(-LN(2)/2)*AB194+(1-EXP(-LN(2)/2))/(LN(2)/2)*V195*Y195*VLOOKUP('Données projet'!$B$9,Paramètres!$A$1:$I$89,3,0)*0.475*44/12</f>
        <v>1.2139499605436581E-19</v>
      </c>
      <c r="AC195" s="24">
        <f t="shared" si="163"/>
        <v>4.821484370228788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125.50615549487452</v>
      </c>
      <c r="T196" s="62">
        <f t="shared" si="142"/>
        <v>156.05798578195993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4.6618255356398137</v>
      </c>
      <c r="AA196" s="23">
        <f>EXP(-LN(2)/25)*AA195+(1-EXP(-LN(2)/25))/(LN(2)/25)*Calculateur!V196*Calculateur!X196*VLOOKUP('Données projet'!$B$9,Paramètres!$A$1:$I$89,3,0)*0.475*44/12</f>
        <v>6.4598704261519244E-2</v>
      </c>
      <c r="AB196" s="23">
        <f>EXP(-LN(2)/2)*AB195+(1-EXP(-LN(2)/2))/(LN(2)/2)*V196*Y196*VLOOKUP('Données projet'!$B$9,Paramètres!$A$1:$I$89,3,0)*0.475*44/12</f>
        <v>8.5839224912156243E-20</v>
      </c>
      <c r="AC196" s="24">
        <f t="shared" si="163"/>
        <v>4.7264242399013332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125.50615549487452</v>
      </c>
      <c r="T197" s="62">
        <f t="shared" ref="T197:T203" si="204">$T$3</f>
        <v>156.05798578195993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4.5704099803187281</v>
      </c>
      <c r="AA197" s="23">
        <f>EXP(-LN(2)/25)*AA196+(1-EXP(-LN(2)/25))/(LN(2)/25)*Calculateur!V197*Calculateur!X197*VLOOKUP('Données projet'!$B$9,Paramètres!$A$1:$I$89,3,0)*0.475*44/12</f>
        <v>6.2832249296389781E-2</v>
      </c>
      <c r="AB197" s="23">
        <f>EXP(-LN(2)/2)*AB196+(1-EXP(-LN(2)/2))/(LN(2)/2)*V197*Y197*VLOOKUP('Données projet'!$B$9,Paramètres!$A$1:$I$89,3,0)*0.475*44/12</f>
        <v>6.0697498027182904E-20</v>
      </c>
      <c r="AC197" s="24">
        <f t="shared" si="163"/>
        <v>4.6332422296151181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125.50615549487452</v>
      </c>
      <c r="T198" s="62">
        <f t="shared" si="204"/>
        <v>156.05798578195993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4.4807870282795061</v>
      </c>
      <c r="AA198" s="23">
        <f>EXP(-LN(2)/25)*AA197+(1-EXP(-LN(2)/25))/(LN(2)/25)*Calculateur!V198*Calculateur!X198*VLOOKUP('Données projet'!$B$9,Paramètres!$A$1:$I$89,3,0)*0.475*44/12</f>
        <v>6.1114098135175619E-2</v>
      </c>
      <c r="AB198" s="23">
        <f>EXP(-LN(2)/2)*AB197+(1-EXP(-LN(2)/2))/(LN(2)/2)*V198*Y198*VLOOKUP('Données projet'!$B$9,Paramètres!$A$1:$I$89,3,0)*0.475*44/12</f>
        <v>4.2919612456078121E-20</v>
      </c>
      <c r="AC198" s="24">
        <f t="shared" si="163"/>
        <v>4.5419011264146816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125.50615549487452</v>
      </c>
      <c r="T199" s="62">
        <f t="shared" si="204"/>
        <v>156.05798578195993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4.3929215276651696</v>
      </c>
      <c r="AA199" s="23">
        <f>EXP(-LN(2)/25)*AA198+(1-EXP(-LN(2)/25))/(LN(2)/25)*Calculateur!V199*Calculateur!X199*VLOOKUP('Données projet'!$B$9,Paramètres!$A$1:$I$89,3,0)*0.475*44/12</f>
        <v>5.9442929907818499E-2</v>
      </c>
      <c r="AB199" s="23">
        <f>EXP(-LN(2)/2)*AB198+(1-EXP(-LN(2)/2))/(LN(2)/2)*V199*Y199*VLOOKUP('Données projet'!$B$9,Paramètres!$A$1:$I$89,3,0)*0.475*44/12</f>
        <v>3.0348749013591452E-20</v>
      </c>
      <c r="AC199" s="24">
        <f t="shared" si="163"/>
        <v>4.4523644575729877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125.50615549487452</v>
      </c>
      <c r="T200" s="62">
        <f t="shared" si="204"/>
        <v>156.05798578195993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4.3067790159252173</v>
      </c>
      <c r="AA200" s="23">
        <f>EXP(-LN(2)/25)*AA199+(1-EXP(-LN(2)/25))/(LN(2)/25)*Calculateur!V200*Calculateur!X200*VLOOKUP('Données projet'!$B$9,Paramètres!$A$1:$I$89,3,0)*0.475*44/12</f>
        <v>5.7817459863521374E-2</v>
      </c>
      <c r="AB200" s="23">
        <f>EXP(-LN(2)/2)*AB199+(1-EXP(-LN(2)/2))/(LN(2)/2)*V200*Y200*VLOOKUP('Données projet'!$B$9,Paramètres!$A$1:$I$89,3,0)*0.475*44/12</f>
        <v>2.1459806228039061E-20</v>
      </c>
      <c r="AC200" s="24">
        <f t="shared" si="163"/>
        <v>4.3645964757887388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125.50615549487452</v>
      </c>
      <c r="T201" s="62">
        <f t="shared" si="204"/>
        <v>156.05798578195993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4.2223257062987409</v>
      </c>
      <c r="AA201" s="23">
        <f>EXP(-LN(2)/25)*AA200+(1-EXP(-LN(2)/25))/(LN(2)/25)*Calculateur!V201*Calculateur!X201*VLOOKUP('Données projet'!$B$9,Paramètres!$A$1:$I$89,3,0)*0.475*44/12</f>
        <v>5.6236438383065308E-2</v>
      </c>
      <c r="AB201" s="23">
        <f>EXP(-LN(2)/2)*AB200+(1-EXP(-LN(2)/2))/(LN(2)/2)*V201*Y201*VLOOKUP('Données projet'!$B$9,Paramètres!$A$1:$I$89,3,0)*0.475*44/12</f>
        <v>1.5174374506795726E-20</v>
      </c>
      <c r="AC201" s="24">
        <f t="shared" si="163"/>
        <v>4.2785621446818061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125.50615549487452</v>
      </c>
      <c r="T202" s="62">
        <f t="shared" si="204"/>
        <v>156.05798578195993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4.1395284745626073</v>
      </c>
      <c r="AA202" s="23">
        <f>EXP(-LN(2)/25)*AA201+(1-EXP(-LN(2)/25))/(LN(2)/25)*Calculateur!V202*Calculateur!X202*VLOOKUP('Données projet'!$B$9,Paramètres!$A$1:$I$89,3,0)*0.475*44/12</f>
        <v>5.469865001813462E-2</v>
      </c>
      <c r="AB202" s="23">
        <f>EXP(-LN(2)/2)*AB201+(1-EXP(-LN(2)/2))/(LN(2)/2)*V202*Y202*VLOOKUP('Données projet'!$B$9,Paramètres!$A$1:$I$89,3,0)*0.475*44/12</f>
        <v>1.072990311401953E-20</v>
      </c>
      <c r="AC202" s="24">
        <f t="shared" si="163"/>
        <v>4.1942271245807419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125.50615549487452</v>
      </c>
      <c r="T203" s="62">
        <f t="shared" si="204"/>
        <v>156.05798578195993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4.0583548460394949</v>
      </c>
      <c r="AA203" s="23">
        <f>EXP(-LN(2)/25)*AA202+(1-EXP(-LN(2)/25))/(LN(2)/25)*Calculateur!V203*Calculateur!X203*VLOOKUP('Données projet'!$B$9,Paramètres!$A$1:$I$89,3,0)*0.475*44/12</f>
        <v>5.3202912556911737E-2</v>
      </c>
      <c r="AB203" s="23">
        <f>EXP(-LN(2)/2)*AB202+(1-EXP(-LN(2)/2))/(LN(2)/2)*V203*Y203*VLOOKUP('Données projet'!$B$9,Paramètres!$A$1:$I$89,3,0)*0.475*44/12</f>
        <v>7.5871872533978629E-21</v>
      </c>
      <c r="AC203" s="24">
        <f t="shared" si="163"/>
        <v>4.1115577585964065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1.2529907072018422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D16" sqref="D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20.440000000000001</v>
      </c>
      <c r="C6" s="156">
        <f ca="1">IF(OR('Données projet'!B9="",'Données projet'!C9="",'Données projet'!C9=0%),0,Calculateur!S3)</f>
        <v>125.50615549487452</v>
      </c>
      <c r="D6" s="156">
        <f>IF(OR('Données projet'!B9="",'Données projet'!C9="",'Données projet'!C9=0%),0,Calculateur!T3)</f>
        <v>156.05798578195993</v>
      </c>
      <c r="E6" s="156">
        <f ca="1">MIN(C6,D6)</f>
        <v>125.50615549487452</v>
      </c>
      <c r="F6" s="156">
        <f ca="1">E6*B6</f>
        <v>2565.3458183152352</v>
      </c>
      <c r="G6" s="156">
        <f ca="1">F6*(100%-'Données projet'!$C$24)*(100%-'Données projet'!$C$25)*(100%-'Données projet'!$C$26)*(100%-'Données projet'!$C$27)</f>
        <v>1962.4895510111548</v>
      </c>
      <c r="H6" s="157">
        <f>IF(OR('Données projet'!B9="",'Données projet'!C9="",'Données projet'!C9=0%),0,AVERAGE(Calculateur!$AC$3:$AC$33)*B6)</f>
        <v>81.739866103151968</v>
      </c>
      <c r="I6" s="158">
        <f>H6*(100%-'Données projet'!$C$24)*(100%-'Données projet'!$C$25)*(100%-'Données projet'!$C$26)*(100%-'Données projet'!$C$27)</f>
        <v>62.530997568911253</v>
      </c>
      <c r="J6" s="159">
        <f>IF(OR('Données projet'!B9="",'Données projet'!C9="",'Données projet'!C9=0%),0,SUM(Calculateur!$V$3:$V$33)*VLOOKUP('Données projet'!$B$9,Paramètres!$A$1:$I$89,9,0)*B6)</f>
        <v>820.05280000000005</v>
      </c>
      <c r="K6" s="160">
        <f>J6*(100%-'Données projet'!$C$24)*(100%-'Données projet'!$C$25)*(100%-'Données projet'!$C$26)*(100%-'Données projet'!$C$27)</f>
        <v>627.34039200000007</v>
      </c>
      <c r="L6" s="161">
        <f ca="1">G6+I6+K6</f>
        <v>2652.3609405800662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2565.3458183152352</v>
      </c>
      <c r="G16" s="175">
        <f t="shared" ca="1" si="3"/>
        <v>1962.4895510111548</v>
      </c>
      <c r="H16" s="176">
        <f t="shared" si="3"/>
        <v>81.739866103151968</v>
      </c>
      <c r="I16" s="176">
        <f t="shared" si="3"/>
        <v>62.530997568911253</v>
      </c>
      <c r="J16" s="177">
        <f t="shared" si="3"/>
        <v>820.05280000000005</v>
      </c>
      <c r="K16" s="177">
        <f t="shared" si="3"/>
        <v>627.34039200000007</v>
      </c>
      <c r="L16" s="178">
        <f t="shared" ca="1" si="3"/>
        <v>2652.3609405800662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0" zoomScale="90" zoomScaleNormal="9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2003.8147869561658</v>
      </c>
      <c r="U10" s="190">
        <f>'Données projet'!D9</f>
        <v>20.440000000000001</v>
      </c>
      <c r="V10" s="189">
        <f>U10*T10</f>
        <v>40957.97424538403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55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54.999999999999964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1649.9999999999989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2145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930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30</v>
      </c>
      <c r="C23" s="206">
        <v>15</v>
      </c>
      <c r="D23" s="194">
        <f>B23*C23</f>
        <v>450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-26161.062127409634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38</v>
      </c>
      <c r="C24" s="206">
        <v>25</v>
      </c>
      <c r="D24" s="194">
        <f t="shared" ref="D24:D42" si="2">B24*C24</f>
        <v>950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2996.1866256649964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36</v>
      </c>
      <c r="B25" s="193">
        <f>'Données projet'!D38</f>
        <v>48</v>
      </c>
      <c r="C25" s="206">
        <v>30</v>
      </c>
      <c r="D25" s="194">
        <f t="shared" si="2"/>
        <v>1440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-29157.248753074629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45</v>
      </c>
      <c r="B26" s="193">
        <f>'Données projet'!D39</f>
        <v>55</v>
      </c>
      <c r="C26" s="206">
        <v>35</v>
      </c>
      <c r="D26" s="194">
        <f t="shared" si="2"/>
        <v>1925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55</v>
      </c>
      <c r="B27" s="193">
        <f>'Données projet'!D40</f>
        <v>247</v>
      </c>
      <c r="C27" s="206">
        <v>45</v>
      </c>
      <c r="D27" s="194">
        <f t="shared" si="2"/>
        <v>11115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2023-11-27T15:05:16Z</dcterms:modified>
</cp:coreProperties>
</file>