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J:\1- LABEL BAS CARBONE\1- PROJETS LBC\P10 BELIN-BELIET [GF DE CHANTEMERLE]\Documents LBC\"/>
    </mc:Choice>
  </mc:AlternateContent>
  <xr:revisionPtr revIDLastSave="0" documentId="13_ncr:1_{2DD88C34-46B0-4677-8C61-82DCA2B7A377}" xr6:coauthVersionLast="47" xr6:coauthVersionMax="47" xr10:uidLastSave="{00000000-0000-0000-0000-000000000000}"/>
  <bookViews>
    <workbookView xWindow="-120" yWindow="-120" windowWidth="29040" windowHeight="15720" tabRatio="866" activeTab="1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71" i="1" l="1"/>
  <c r="B70" i="1"/>
  <c r="B69" i="1"/>
  <c r="B68" i="1"/>
  <c r="B67" i="1"/>
  <c r="B66" i="1"/>
  <c r="B65" i="1"/>
  <c r="B64" i="1"/>
  <c r="B63" i="1"/>
  <c r="D45" i="1"/>
  <c r="B45" i="1"/>
  <c r="B44" i="1"/>
  <c r="B43" i="1"/>
  <c r="B42" i="1"/>
  <c r="B41" i="1"/>
  <c r="B40" i="1"/>
  <c r="B39" i="1"/>
  <c r="B38" i="1"/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FR4" i="2" s="1"/>
  <c r="DY4" i="2"/>
  <c r="ES4" i="2"/>
  <c r="DX4" i="2"/>
  <c r="EA4" i="2" s="1"/>
  <c r="GI4" i="2"/>
  <c r="CI4" i="2"/>
  <c r="ET4" i="2"/>
  <c r="DC4" i="2"/>
  <c r="BM4" i="2"/>
  <c r="DD4" i="2"/>
  <c r="CH4" i="2"/>
  <c r="BN4" i="2"/>
  <c r="AS4" i="2"/>
  <c r="AR4" i="2"/>
  <c r="FN4" i="2"/>
  <c r="FQ4" i="2" s="1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B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R5" i="2" s="1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EX5" i="2" s="1"/>
  <c r="DV5" i="2"/>
  <c r="DM5" i="2"/>
  <c r="DA5" i="2"/>
  <c r="CR5" i="2"/>
  <c r="CQ5" i="2"/>
  <c r="EU5" i="2"/>
  <c r="EG5" i="2"/>
  <c r="DW5" i="2"/>
  <c r="EC5" i="2" s="1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EA6" i="2" s="1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HH6" i="2" l="1"/>
  <c r="FR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EB7" i="2" s="1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I7" i="2" s="1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EX7" i="2" s="1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A7" i="2" l="1"/>
  <c r="EW7" i="2"/>
  <c r="EV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EX8" i="2" s="1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HG8" i="2" l="1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EB10" i="2" s="1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FS10" i="2" l="1"/>
  <c r="EA10" i="2"/>
  <c r="HH10" i="2"/>
  <c r="HG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HG13" i="2" s="1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EC13" i="2" s="1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I13" i="2" l="1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G14" i="2" s="1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EX14" i="2" s="1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B14" i="2" l="1"/>
  <c r="HH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FS15" i="2" s="1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EX18" i="2" s="1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EW18" i="2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S20" i="2" s="1"/>
  <c r="FB20" i="2"/>
  <c r="ER20" i="2"/>
  <c r="DV20" i="2"/>
  <c r="DM20" i="2"/>
  <c r="DA20" i="2"/>
  <c r="EU20" i="2"/>
  <c r="EG20" i="2"/>
  <c r="DW20" i="2"/>
  <c r="EC20" i="2" s="1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V21" i="2" l="1"/>
  <c r="HH21" i="2"/>
  <c r="EW21" i="2"/>
  <c r="EB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G22" i="2" s="1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B22" i="2" l="1"/>
  <c r="EA22" i="2"/>
  <c r="EW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FR24" i="2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C26" i="2" s="1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EV28" i="2" s="1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HI28" i="2" s="1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EC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HG33" i="2" l="1"/>
  <c r="EW33" i="2"/>
  <c r="HH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EB35" i="2" s="1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A35" i="2" l="1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S38" i="2" s="1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I38" i="2" l="1"/>
  <c r="EW38" i="2"/>
  <c r="EA38" i="2"/>
  <c r="HH38" i="2"/>
  <c r="EX38" i="2"/>
  <c r="HG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I43" i="2" s="1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G43" i="2" l="1"/>
  <c r="DG43" i="2"/>
  <c r="EX43" i="2"/>
  <c r="EA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H44" i="2"/>
  <c r="EC44" i="2"/>
  <c r="HG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C46" i="2" s="1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G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HH48" i="2" s="1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EC48" i="2" s="1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G48" i="2" l="1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I50" i="2" s="1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G50" i="2" l="1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EA51" i="2" s="1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EX51" i="2" s="1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HG53" i="2" s="1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I55" i="2" s="1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HG56" i="2" s="1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FS56" i="2" l="1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HI57" i="2" s="1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FS57" i="2" l="1"/>
  <c r="EV57" i="2"/>
  <c r="HH57" i="2"/>
  <c r="EB57" i="2"/>
  <c r="HG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C58" i="2" s="1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A58" i="2" l="1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EC59" i="2" s="1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B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H60" i="2" l="1"/>
  <c r="EW60" i="2"/>
  <c r="HG60" i="2"/>
  <c r="EV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EW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HH62" i="2" s="1"/>
  <c r="GI62" i="2"/>
  <c r="GJ62" i="2"/>
  <c r="ET62" i="2"/>
  <c r="FO62" i="2"/>
  <c r="FN62" i="2"/>
  <c r="DY62" i="2"/>
  <c r="ES62" i="2"/>
  <c r="DX62" i="2"/>
  <c r="EA62" i="2" s="1"/>
  <c r="BN62" i="2"/>
  <c r="DD62" i="2"/>
  <c r="CH62" i="2"/>
  <c r="AS62" i="2"/>
  <c r="W62" i="2"/>
  <c r="DC62" i="2"/>
  <c r="CI62" i="2"/>
  <c r="BM62" i="2"/>
  <c r="X62" i="2"/>
  <c r="AR62" i="2"/>
  <c r="HC62" i="2"/>
  <c r="HI62" i="2" s="1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B62" i="2" l="1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EC63" i="2" s="1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EV64" i="2" s="1"/>
  <c r="DX64" i="2"/>
  <c r="EA64" i="2" s="1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HH64" i="2" l="1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EB70" i="2" s="1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G70" i="2" l="1"/>
  <c r="HI70" i="2"/>
  <c r="EW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HH71" i="2" s="1"/>
  <c r="GI71" i="2"/>
  <c r="GJ71" i="2"/>
  <c r="ES71" i="2"/>
  <c r="ET71" i="2"/>
  <c r="EW71" i="2" s="1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B72" i="2" l="1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S74" i="2" s="1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EW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EB77" i="2" s="1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H79" i="2" l="1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HH80" i="2" s="1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HG84" i="2" s="1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S84" i="2" s="1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EC84" i="2" l="1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HG85" i="2" s="1"/>
  <c r="GI85" i="2"/>
  <c r="FO85" i="2"/>
  <c r="FN85" i="2"/>
  <c r="ET85" i="2"/>
  <c r="ES85" i="2"/>
  <c r="EV85" i="2" s="1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EC85" i="2" s="1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HH85" i="2" l="1"/>
  <c r="HI85" i="2"/>
  <c r="EW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A87" i="2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G88" i="2" l="1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EX92" i="2" s="1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X95" i="2" l="1"/>
  <c r="FQ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S98" i="2" s="1"/>
  <c r="FP98" i="2"/>
  <c r="FX98" i="2"/>
  <c r="DZ98" i="2"/>
  <c r="DL98" i="2"/>
  <c r="DE98" i="2"/>
  <c r="GG98" i="2"/>
  <c r="EQ98" i="2"/>
  <c r="EH98" i="2"/>
  <c r="CJ98" i="2"/>
  <c r="CR98" i="2"/>
  <c r="FB98" i="2"/>
  <c r="ER98" i="2"/>
  <c r="EX98" i="2" s="1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W98" i="2" l="1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A103" i="2" l="1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V105" i="2" l="1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G106" i="2" s="1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I106" i="2" l="1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EA108" i="2" s="1"/>
  <c r="CI108" i="2"/>
  <c r="BM108" i="2"/>
  <c r="FN108" i="2"/>
  <c r="DY108" i="2"/>
  <c r="EB108" i="2" s="1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W108" i="2" l="1"/>
  <c r="FS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EX109" i="2" s="1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I113" i="2" l="1"/>
  <c r="EX113" i="2"/>
  <c r="FS113" i="2"/>
  <c r="EB113" i="2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EW114" i="2" s="1"/>
  <c r="FN114" i="2"/>
  <c r="DD114" i="2"/>
  <c r="BN114" i="2"/>
  <c r="FO114" i="2"/>
  <c r="CH114" i="2"/>
  <c r="AS114" i="2"/>
  <c r="ES114" i="2"/>
  <c r="EV114" i="2" s="1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HH114" i="2" l="1"/>
  <c r="HG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A117" i="2" l="1"/>
  <c r="HG117" i="2"/>
  <c r="HI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Q118" i="2" l="1"/>
  <c r="FS118" i="2"/>
  <c r="EX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I120" i="2" s="1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FR121" i="2" l="1"/>
  <c r="EA121" i="2"/>
  <c r="EB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I122" i="2" s="1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FS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EV128" i="2" s="1"/>
  <c r="DX128" i="2"/>
  <c r="FN128" i="2"/>
  <c r="ET128" i="2"/>
  <c r="DY128" i="2"/>
  <c r="EB128" i="2" s="1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HG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X130" i="2"/>
  <c r="EB130" i="2"/>
  <c r="HH130" i="2"/>
  <c r="FS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HG132" i="2" l="1"/>
  <c r="EC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EV133" i="2" s="1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C138" i="2" s="1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B138" i="2" l="1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W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HG141" i="2" s="1"/>
  <c r="CH141" i="2"/>
  <c r="CI141" i="2"/>
  <c r="BM141" i="2"/>
  <c r="DY141" i="2"/>
  <c r="EB141" i="2" s="1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S141" i="2" s="1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EX141" i="2" l="1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G142" i="2" s="1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EW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FS143" i="2" s="1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EA144" i="2" s="1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EX144" i="2"/>
  <c r="HH144" i="2"/>
  <c r="HG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FR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EA146" i="2" s="1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S146" i="2" s="1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HI146" i="2" l="1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EW147" i="2" s="1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EX147" i="2" s="1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HI147" i="2" l="1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EC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EC150" i="2" s="1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HH150" i="2" l="1"/>
  <c r="HG150" i="2"/>
  <c r="EV150" i="2"/>
  <c r="FS150" i="2"/>
  <c r="HI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EV152" i="2" s="1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I152" i="2" s="1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B152" i="2" l="1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EB153" i="2"/>
  <c r="EX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B154" i="2" s="1"/>
  <c r="AX150" i="2"/>
  <c r="Z153" i="2"/>
  <c r="AC152" i="2"/>
  <c r="HH154" i="2" l="1"/>
  <c r="EX154" i="2"/>
  <c r="AA154" i="2"/>
  <c r="EV154" i="2"/>
  <c r="EC154" i="2"/>
  <c r="EA154" i="2"/>
  <c r="ED154" i="2" s="1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EW155" i="2" s="1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HG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AB156" i="2" s="1"/>
  <c r="H194" i="2"/>
  <c r="D195" i="2"/>
  <c r="G195" i="2" s="1"/>
  <c r="EY155" i="2"/>
  <c r="ED155" i="2"/>
  <c r="AX152" i="2"/>
  <c r="FS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EA157" i="2" s="1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EV158" i="2" l="1"/>
  <c r="HG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EC159" i="2" s="1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HG160" i="2" s="1"/>
  <c r="GJ160" i="2"/>
  <c r="EH160" i="2"/>
  <c r="ET160" i="2"/>
  <c r="DL160" i="2"/>
  <c r="FM160" i="2"/>
  <c r="FS160" i="2" s="1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EC160" i="2" s="1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HH160" i="2" l="1"/>
  <c r="EY159" i="2"/>
  <c r="HI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B161" i="2" l="1"/>
  <c r="AB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HH162" i="2" l="1"/>
  <c r="HG162" i="2"/>
  <c r="EB162" i="2"/>
  <c r="FS162" i="2"/>
  <c r="AU162" i="2"/>
  <c r="EX162" i="2"/>
  <c r="EA162" i="2"/>
  <c r="ED162" i="2" s="1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EB163" i="2" s="1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A163" i="2" l="1"/>
  <c r="EV163" i="2"/>
  <c r="HI163" i="2"/>
  <c r="FS163" i="2"/>
  <c r="EC163" i="2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EV164" i="2" s="1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HG164" i="2" l="1"/>
  <c r="EA164" i="2"/>
  <c r="EX164" i="2"/>
  <c r="DI163" i="2"/>
  <c r="DH164" i="2"/>
  <c r="FS164" i="2"/>
  <c r="H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HH165" i="2" l="1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EB167" i="2" s="1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DG167" i="2" s="1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A167" i="2" l="1"/>
  <c r="HH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EB168" i="2" s="1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HH169" i="2" s="1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B169" i="2" l="1"/>
  <c r="FS169" i="2"/>
  <c r="EX169" i="2"/>
  <c r="EA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G172" i="2" s="1"/>
  <c r="HE172" i="2"/>
  <c r="GK172" i="2"/>
  <c r="FB172" i="2"/>
  <c r="HF172" i="2"/>
  <c r="FC172" i="2"/>
  <c r="FW172" i="2"/>
  <c r="FL172" i="2"/>
  <c r="GR172" i="2"/>
  <c r="FX172" i="2"/>
  <c r="FM172" i="2"/>
  <c r="ET172" i="2"/>
  <c r="EW172" i="2" s="1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I172" i="2" l="1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EB173" i="2" s="1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H173" i="2" l="1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EW175" i="2" s="1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ED174" i="2"/>
  <c r="AX172" i="2"/>
  <c r="EB175" i="2" l="1"/>
  <c r="EA175" i="2"/>
  <c r="FS175" i="2"/>
  <c r="HI175" i="2"/>
  <c r="EX175" i="2"/>
  <c r="EC175" i="2"/>
  <c r="EV175" i="2"/>
  <c r="EY175" i="2" s="1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B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S177" i="2" l="1"/>
  <c r="HH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HB178" i="2"/>
  <c r="HC178" i="2"/>
  <c r="GI178" i="2"/>
  <c r="FP178" i="2"/>
  <c r="HD178" i="2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Q178" i="2" l="1"/>
  <c r="EB178" i="2"/>
  <c r="HG178" i="2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HH179" i="2" s="1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EB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I180" i="2" l="1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W181" i="2" l="1"/>
  <c r="HG181" i="2"/>
  <c r="FS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FS182" i="2" l="1"/>
  <c r="EC182" i="2"/>
  <c r="EX182" i="2"/>
  <c r="DG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EB183" i="2" s="1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EA183" i="2" s="1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FS183" i="2" l="1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Y184" i="2" s="1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AX182" i="2"/>
  <c r="EA185" i="2" l="1"/>
  <c r="EV185" i="2"/>
  <c r="EW185" i="2"/>
  <c r="HH185" i="2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HG186" i="2" s="1"/>
  <c r="GJ186" i="2"/>
  <c r="HE186" i="2"/>
  <c r="HH186" i="2" s="1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EA186" i="2" s="1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R186" i="2" l="1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HG187" i="2" s="1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H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H188" i="2" l="1"/>
  <c r="HG188" i="2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H189" i="2" s="1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EB189" i="2" s="1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A189" i="2" s="1"/>
  <c r="EY188" i="2"/>
  <c r="AX186" i="2"/>
  <c r="EV189" i="2" l="1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HG190" i="2" s="1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EW190" i="2" s="1"/>
  <c r="FC190" i="2"/>
  <c r="EH190" i="2"/>
  <c r="FN190" i="2"/>
  <c r="FP190" i="2"/>
  <c r="ER190" i="2"/>
  <c r="DX190" i="2"/>
  <c r="CR190" i="2"/>
  <c r="ES190" i="2"/>
  <c r="EV190" i="2" s="1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ED190" i="2" s="1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HG191" i="2" s="1"/>
  <c r="GJ191" i="2"/>
  <c r="HE191" i="2"/>
  <c r="HH191" i="2" s="1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EW191" i="2" l="1"/>
  <c r="HI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C192" i="2" l="1"/>
  <c r="EW192" i="2"/>
  <c r="HG192" i="2"/>
  <c r="EA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HI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HI194" i="2" s="1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EX195" i="2" s="1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HG195" i="2" l="1"/>
  <c r="AA195" i="2"/>
  <c r="EA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HH196" i="2" s="1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FS196" i="2" l="1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EV198" i="2" s="1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EW198" i="2" s="1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FS198" i="2" l="1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HG199" i="2" s="1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H199" i="2" l="1"/>
  <c r="EV199" i="2"/>
  <c r="FS199" i="2"/>
  <c r="EW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EX200" i="2" s="1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W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EA201" i="2" s="1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D200" i="2"/>
  <c r="DI200" i="2"/>
  <c r="FS201" i="2" l="1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EX202" i="2" l="1"/>
  <c r="FR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R203" i="2" s="1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BP203" i="2" l="1"/>
  <c r="HG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<sst xmlns="http://schemas.openxmlformats.org/spreadsheetml/2006/main" count="1171" uniqueCount="324">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</sst>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4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2.1092085567804149</c:v>
                </c:pt>
                <c:pt idx="2">
                  <c:v>2.8690068673716276</c:v>
                </c:pt>
                <c:pt idx="3">
                  <c:v>3.9036654477309445</c:v>
                </c:pt>
                <c:pt idx="4">
                  <c:v>5.3130109258366689</c:v>
                </c:pt>
                <c:pt idx="5">
                  <c:v>7.2332599189088382</c:v>
                </c:pt>
                <c:pt idx="6">
                  <c:v>9.8503295906308832</c:v>
                </c:pt>
                <c:pt idx="7">
                  <c:v>13.418032112102033</c:v>
                </c:pt>
                <c:pt idx="8">
                  <c:v>18.282950136336385</c:v>
                </c:pt>
                <c:pt idx="9">
                  <c:v>24.918453380211091</c:v>
                </c:pt>
                <c:pt idx="10">
                  <c:v>33.971224547806742</c:v>
                </c:pt>
                <c:pt idx="11">
                  <c:v>46.324906967585214</c:v>
                </c:pt>
                <c:pt idx="12">
                  <c:v>63.187191019914216</c:v>
                </c:pt>
                <c:pt idx="13">
                  <c:v>83.488899475540265</c:v>
                </c:pt>
                <c:pt idx="14">
                  <c:v>103.66519566736689</c:v>
                </c:pt>
                <c:pt idx="15">
                  <c:v>123.74409768687555</c:v>
                </c:pt>
                <c:pt idx="16">
                  <c:v>143.74369273961921</c:v>
                </c:pt>
                <c:pt idx="17">
                  <c:v>133.57348387799991</c:v>
                </c:pt>
                <c:pt idx="18">
                  <c:v>155.9773303229338</c:v>
                </c:pt>
                <c:pt idx="19">
                  <c:v>178.30464667323099</c:v>
                </c:pt>
                <c:pt idx="20">
                  <c:v>200.5663743561463</c:v>
                </c:pt>
                <c:pt idx="21">
                  <c:v>182.71012786498821</c:v>
                </c:pt>
                <c:pt idx="22">
                  <c:v>208.44739368904513</c:v>
                </c:pt>
                <c:pt idx="23">
                  <c:v>234.11124817795204</c:v>
                </c:pt>
                <c:pt idx="24">
                  <c:v>259.71087111615634</c:v>
                </c:pt>
                <c:pt idx="25">
                  <c:v>230.08557934702876</c:v>
                </c:pt>
                <c:pt idx="26">
                  <c:v>255.66263432728726</c:v>
                </c:pt>
                <c:pt idx="27">
                  <c:v>281.18178557188253</c:v>
                </c:pt>
                <c:pt idx="28">
                  <c:v>306.64902461461696</c:v>
                </c:pt>
                <c:pt idx="29">
                  <c:v>277.5578261052076</c:v>
                </c:pt>
                <c:pt idx="30">
                  <c:v>301.52746504321459</c:v>
                </c:pt>
                <c:pt idx="31">
                  <c:v>325.45469493676904</c:v>
                </c:pt>
                <c:pt idx="32">
                  <c:v>349.3430700085691</c:v>
                </c:pt>
                <c:pt idx="33">
                  <c:v>373.19561882188344</c:v>
                </c:pt>
                <c:pt idx="34">
                  <c:v>397.0149513522162</c:v>
                </c:pt>
                <c:pt idx="35">
                  <c:v>339.57504464240793</c:v>
                </c:pt>
                <c:pt idx="36">
                  <c:v>358.5310296135292</c:v>
                </c:pt>
                <c:pt idx="37">
                  <c:v>377.46509105219997</c:v>
                </c:pt>
                <c:pt idx="38">
                  <c:v>396.3784829009673</c:v>
                </c:pt>
                <c:pt idx="39">
                  <c:v>415.27232971683731</c:v>
                </c:pt>
                <c:pt idx="40">
                  <c:v>434.14764542220854</c:v>
                </c:pt>
                <c:pt idx="41">
                  <c:v>404.84171743812584</c:v>
                </c:pt>
                <c:pt idx="42">
                  <c:v>418.89627246995241</c:v>
                </c:pt>
                <c:pt idx="43">
                  <c:v>432.94067027087976</c:v>
                </c:pt>
                <c:pt idx="44">
                  <c:v>446.97528670607409</c:v>
                </c:pt>
                <c:pt idx="45">
                  <c:v>461.00047211515522</c:v>
                </c:pt>
                <c:pt idx="46">
                  <c:v>475.01655378575714</c:v>
                </c:pt>
                <c:pt idx="47">
                  <c:v>457.25709576545205</c:v>
                </c:pt>
                <c:pt idx="48">
                  <c:v>466.51918419318849</c:v>
                </c:pt>
                <c:pt idx="49">
                  <c:v>475.77735351010136</c:v>
                </c:pt>
                <c:pt idx="50">
                  <c:v>485.03169075090017</c:v>
                </c:pt>
                <c:pt idx="51">
                  <c:v>494.28227935737868</c:v>
                </c:pt>
                <c:pt idx="52">
                  <c:v>503.52919939265217</c:v>
                </c:pt>
                <c:pt idx="53">
                  <c:v>512.77252773883436</c:v>
                </c:pt>
                <c:pt idx="54">
                  <c:v>522.01233827972089</c:v>
                </c:pt>
                <c:pt idx="55">
                  <c:v>503.82998023383288</c:v>
                </c:pt>
                <c:pt idx="56">
                  <c:v>507.67647479696649</c:v>
                </c:pt>
                <c:pt idx="57">
                  <c:v>511.52235334624737</c:v>
                </c:pt>
                <c:pt idx="58">
                  <c:v>515.3676211703862</c:v>
                </c:pt>
                <c:pt idx="59">
                  <c:v>519.2122834726739</c:v>
                </c:pt>
                <c:pt idx="60">
                  <c:v>523.05634537299545</c:v>
                </c:pt>
                <c:pt idx="61">
                  <c:v>526.89981190978597</c:v>
                </c:pt>
                <c:pt idx="62">
                  <c:v>530.74268804192309</c:v>
                </c:pt>
                <c:pt idx="63">
                  <c:v>6.8067219078872727E-12</c:v>
                </c:pt>
                <c:pt idx="64">
                  <c:v>6.8067219078872727E-12</c:v>
                </c:pt>
                <c:pt idx="65">
                  <c:v>6.8067219078872727E-12</c:v>
                </c:pt>
                <c:pt idx="66">
                  <c:v>6.8067219078872727E-12</c:v>
                </c:pt>
                <c:pt idx="67">
                  <c:v>6.8067219078872727E-12</c:v>
                </c:pt>
                <c:pt idx="68">
                  <c:v>6.8067219078872727E-12</c:v>
                </c:pt>
                <c:pt idx="69">
                  <c:v>6.8067219078872727E-12</c:v>
                </c:pt>
                <c:pt idx="70">
                  <c:v>6.8067219078872727E-12</c:v>
                </c:pt>
                <c:pt idx="71">
                  <c:v>6.8067219078872727E-12</c:v>
                </c:pt>
                <c:pt idx="72">
                  <c:v>6.8067219078872727E-12</c:v>
                </c:pt>
                <c:pt idx="73">
                  <c:v>6.8067219078872727E-12</c:v>
                </c:pt>
                <c:pt idx="74">
                  <c:v>6.8067219078872727E-12</c:v>
                </c:pt>
                <c:pt idx="75">
                  <c:v>6.8067219078872727E-12</c:v>
                </c:pt>
                <c:pt idx="76">
                  <c:v>6.8067219078872727E-12</c:v>
                </c:pt>
                <c:pt idx="77">
                  <c:v>6.8067219078872727E-12</c:v>
                </c:pt>
                <c:pt idx="78">
                  <c:v>6.8067219078872727E-12</c:v>
                </c:pt>
                <c:pt idx="79">
                  <c:v>6.8067219078872727E-12</c:v>
                </c:pt>
                <c:pt idx="80">
                  <c:v>6.8067219078872727E-12</c:v>
                </c:pt>
                <c:pt idx="81">
                  <c:v>6.8067219078872727E-12</c:v>
                </c:pt>
                <c:pt idx="82">
                  <c:v>6.8067219078872727E-12</c:v>
                </c:pt>
                <c:pt idx="83">
                  <c:v>6.8067219078872727E-12</c:v>
                </c:pt>
                <c:pt idx="84">
                  <c:v>6.8067219078872727E-12</c:v>
                </c:pt>
                <c:pt idx="85">
                  <c:v>6.8067219078872727E-12</c:v>
                </c:pt>
                <c:pt idx="86">
                  <c:v>6.8067219078872727E-12</c:v>
                </c:pt>
                <c:pt idx="87">
                  <c:v>6.8067219078872727E-12</c:v>
                </c:pt>
                <c:pt idx="88">
                  <c:v>6.8067219078872727E-12</c:v>
                </c:pt>
                <c:pt idx="89">
                  <c:v>6.8067219078872727E-12</c:v>
                </c:pt>
                <c:pt idx="90">
                  <c:v>6.8067219078872727E-12</c:v>
                </c:pt>
                <c:pt idx="91">
                  <c:v>6.8067219078872727E-12</c:v>
                </c:pt>
                <c:pt idx="92">
                  <c:v>6.8067219078872727E-12</c:v>
                </c:pt>
                <c:pt idx="93">
                  <c:v>6.8067219078872727E-12</c:v>
                </c:pt>
                <c:pt idx="94">
                  <c:v>6.8067219078872727E-12</c:v>
                </c:pt>
                <c:pt idx="95">
                  <c:v>6.8067219078872727E-12</c:v>
                </c:pt>
                <c:pt idx="96">
                  <c:v>6.8067219078872727E-12</c:v>
                </c:pt>
                <c:pt idx="97">
                  <c:v>6.8067219078872727E-12</c:v>
                </c:pt>
                <c:pt idx="98">
                  <c:v>6.8067219078872727E-12</c:v>
                </c:pt>
                <c:pt idx="99">
                  <c:v>6.8067219078872727E-12</c:v>
                </c:pt>
                <c:pt idx="100">
                  <c:v>6.8067219078872727E-12</c:v>
                </c:pt>
                <c:pt idx="101">
                  <c:v>6.8067219078872727E-12</c:v>
                </c:pt>
                <c:pt idx="102">
                  <c:v>6.8067219078872727E-12</c:v>
                </c:pt>
                <c:pt idx="103">
                  <c:v>6.8067219078872727E-12</c:v>
                </c:pt>
                <c:pt idx="104">
                  <c:v>6.8067219078872727E-12</c:v>
                </c:pt>
                <c:pt idx="105">
                  <c:v>6.8067219078872727E-12</c:v>
                </c:pt>
                <c:pt idx="106">
                  <c:v>6.8067219078872727E-12</c:v>
                </c:pt>
                <c:pt idx="107">
                  <c:v>6.8067219078872727E-12</c:v>
                </c:pt>
                <c:pt idx="108">
                  <c:v>6.8067219078872727E-12</c:v>
                </c:pt>
                <c:pt idx="109">
                  <c:v>6.8067219078872727E-12</c:v>
                </c:pt>
                <c:pt idx="110">
                  <c:v>6.8067219078872727E-12</c:v>
                </c:pt>
                <c:pt idx="111">
                  <c:v>6.8067219078872727E-12</c:v>
                </c:pt>
                <c:pt idx="112">
                  <c:v>6.8067219078872727E-12</c:v>
                </c:pt>
                <c:pt idx="113">
                  <c:v>6.8067219078872727E-12</c:v>
                </c:pt>
                <c:pt idx="114">
                  <c:v>6.8067219078872727E-12</c:v>
                </c:pt>
                <c:pt idx="115">
                  <c:v>6.8067219078872727E-12</c:v>
                </c:pt>
                <c:pt idx="116">
                  <c:v>6.8067219078872727E-12</c:v>
                </c:pt>
                <c:pt idx="117">
                  <c:v>6.8067219078872727E-12</c:v>
                </c:pt>
                <c:pt idx="118">
                  <c:v>6.8067219078872727E-12</c:v>
                </c:pt>
                <c:pt idx="119">
                  <c:v>6.8067219078872727E-12</c:v>
                </c:pt>
                <c:pt idx="120">
                  <c:v>6.8067219078872727E-12</c:v>
                </c:pt>
                <c:pt idx="121">
                  <c:v>6.8067219078872727E-12</c:v>
                </c:pt>
                <c:pt idx="122">
                  <c:v>6.8067219078872727E-12</c:v>
                </c:pt>
                <c:pt idx="123">
                  <c:v>6.8067219078872727E-12</c:v>
                </c:pt>
                <c:pt idx="124">
                  <c:v>6.8067219078872727E-12</c:v>
                </c:pt>
                <c:pt idx="125">
                  <c:v>6.8067219078872727E-12</c:v>
                </c:pt>
                <c:pt idx="126">
                  <c:v>6.8067219078872727E-12</c:v>
                </c:pt>
                <c:pt idx="127">
                  <c:v>6.8067219078872727E-12</c:v>
                </c:pt>
                <c:pt idx="128">
                  <c:v>6.8067219078872727E-12</c:v>
                </c:pt>
                <c:pt idx="129">
                  <c:v>6.8067219078872727E-12</c:v>
                </c:pt>
                <c:pt idx="130">
                  <c:v>6.8067219078872727E-12</c:v>
                </c:pt>
                <c:pt idx="131">
                  <c:v>6.8067219078872727E-12</c:v>
                </c:pt>
                <c:pt idx="132">
                  <c:v>6.8067219078872727E-12</c:v>
                </c:pt>
                <c:pt idx="133">
                  <c:v>6.8067219078872727E-12</c:v>
                </c:pt>
                <c:pt idx="134">
                  <c:v>6.8067219078872727E-12</c:v>
                </c:pt>
                <c:pt idx="135">
                  <c:v>6.8067219078872727E-12</c:v>
                </c:pt>
                <c:pt idx="136">
                  <c:v>6.8067219078872727E-12</c:v>
                </c:pt>
                <c:pt idx="137">
                  <c:v>6.8067219078872727E-12</c:v>
                </c:pt>
                <c:pt idx="138">
                  <c:v>6.8067219078872727E-12</c:v>
                </c:pt>
                <c:pt idx="139">
                  <c:v>6.8067219078872727E-12</c:v>
                </c:pt>
                <c:pt idx="140">
                  <c:v>6.8067219078872727E-12</c:v>
                </c:pt>
                <c:pt idx="141">
                  <c:v>6.8067219078872727E-12</c:v>
                </c:pt>
                <c:pt idx="142">
                  <c:v>6.8067219078872727E-12</c:v>
                </c:pt>
                <c:pt idx="143">
                  <c:v>6.8067219078872727E-12</c:v>
                </c:pt>
                <c:pt idx="144">
                  <c:v>6.8067219078872727E-12</c:v>
                </c:pt>
                <c:pt idx="145">
                  <c:v>6.8067219078872727E-12</c:v>
                </c:pt>
                <c:pt idx="146">
                  <c:v>6.8067219078872727E-12</c:v>
                </c:pt>
                <c:pt idx="147">
                  <c:v>6.8067219078872727E-12</c:v>
                </c:pt>
                <c:pt idx="148">
                  <c:v>6.8067219078872727E-12</c:v>
                </c:pt>
                <c:pt idx="149">
                  <c:v>6.8067219078872727E-12</c:v>
                </c:pt>
                <c:pt idx="150">
                  <c:v>6.8067219078872727E-12</c:v>
                </c:pt>
                <c:pt idx="151">
                  <c:v>6.8067219078872727E-12</c:v>
                </c:pt>
                <c:pt idx="152">
                  <c:v>6.8067219078872727E-12</c:v>
                </c:pt>
                <c:pt idx="153">
                  <c:v>6.8067219078872727E-12</c:v>
                </c:pt>
                <c:pt idx="154">
                  <c:v>6.8067219078872727E-12</c:v>
                </c:pt>
                <c:pt idx="155">
                  <c:v>6.8067219078872727E-12</c:v>
                </c:pt>
                <c:pt idx="156">
                  <c:v>6.8067219078872727E-12</c:v>
                </c:pt>
                <c:pt idx="157">
                  <c:v>6.8067219078872727E-12</c:v>
                </c:pt>
                <c:pt idx="158">
                  <c:v>6.8067219078872727E-12</c:v>
                </c:pt>
                <c:pt idx="159">
                  <c:v>6.8067219078872727E-12</c:v>
                </c:pt>
                <c:pt idx="160">
                  <c:v>6.8067219078872727E-12</c:v>
                </c:pt>
                <c:pt idx="161">
                  <c:v>6.8067219078872727E-12</c:v>
                </c:pt>
                <c:pt idx="162">
                  <c:v>6.8067219078872727E-12</c:v>
                </c:pt>
                <c:pt idx="163">
                  <c:v>6.8067219078872727E-12</c:v>
                </c:pt>
                <c:pt idx="164">
                  <c:v>6.8067219078872727E-12</c:v>
                </c:pt>
                <c:pt idx="165">
                  <c:v>6.8067219078872727E-12</c:v>
                </c:pt>
                <c:pt idx="166">
                  <c:v>6.8067219078872727E-12</c:v>
                </c:pt>
                <c:pt idx="167">
                  <c:v>6.8067219078872727E-12</c:v>
                </c:pt>
                <c:pt idx="168">
                  <c:v>6.8067219078872727E-12</c:v>
                </c:pt>
                <c:pt idx="169">
                  <c:v>6.8067219078872727E-12</c:v>
                </c:pt>
                <c:pt idx="170">
                  <c:v>6.8067219078872727E-12</c:v>
                </c:pt>
                <c:pt idx="171">
                  <c:v>6.8067219078872727E-12</c:v>
                </c:pt>
                <c:pt idx="172">
                  <c:v>6.8067219078872727E-12</c:v>
                </c:pt>
                <c:pt idx="173">
                  <c:v>6.8067219078872727E-12</c:v>
                </c:pt>
                <c:pt idx="174">
                  <c:v>6.8067219078872727E-12</c:v>
                </c:pt>
                <c:pt idx="175">
                  <c:v>6.8067219078872727E-12</c:v>
                </c:pt>
                <c:pt idx="176">
                  <c:v>6.8067219078872727E-12</c:v>
                </c:pt>
                <c:pt idx="177">
                  <c:v>6.8067219078872727E-12</c:v>
                </c:pt>
                <c:pt idx="178">
                  <c:v>6.8067219078872727E-12</c:v>
                </c:pt>
                <c:pt idx="179">
                  <c:v>6.8067219078872727E-12</c:v>
                </c:pt>
                <c:pt idx="180">
                  <c:v>6.8067219078872727E-12</c:v>
                </c:pt>
                <c:pt idx="181">
                  <c:v>6.8067219078872727E-12</c:v>
                </c:pt>
                <c:pt idx="182">
                  <c:v>6.8067219078872727E-12</c:v>
                </c:pt>
                <c:pt idx="183">
                  <c:v>6.8067219078872727E-12</c:v>
                </c:pt>
                <c:pt idx="184">
                  <c:v>6.8067219078872727E-12</c:v>
                </c:pt>
                <c:pt idx="185">
                  <c:v>6.8067219078872727E-12</c:v>
                </c:pt>
                <c:pt idx="186">
                  <c:v>6.8067219078872727E-12</c:v>
                </c:pt>
                <c:pt idx="187">
                  <c:v>6.8067219078872727E-12</c:v>
                </c:pt>
                <c:pt idx="188">
                  <c:v>6.8067219078872727E-12</c:v>
                </c:pt>
                <c:pt idx="189">
                  <c:v>6.8067219078872727E-12</c:v>
                </c:pt>
                <c:pt idx="190">
                  <c:v>6.8067219078872727E-12</c:v>
                </c:pt>
                <c:pt idx="191">
                  <c:v>6.8067219078872727E-12</c:v>
                </c:pt>
                <c:pt idx="192">
                  <c:v>6.8067219078872727E-12</c:v>
                </c:pt>
                <c:pt idx="193">
                  <c:v>6.8067219078872727E-12</c:v>
                </c:pt>
                <c:pt idx="194">
                  <c:v>6.8067219078872727E-12</c:v>
                </c:pt>
                <c:pt idx="195">
                  <c:v>6.8067219078872727E-12</c:v>
                </c:pt>
                <c:pt idx="196">
                  <c:v>6.8067219078872727E-12</c:v>
                </c:pt>
                <c:pt idx="197">
                  <c:v>6.8067219078872727E-12</c:v>
                </c:pt>
                <c:pt idx="198">
                  <c:v>6.8067219078872727E-12</c:v>
                </c:pt>
                <c:pt idx="199">
                  <c:v>6.8067219078872727E-12</c:v>
                </c:pt>
                <c:pt idx="200">
                  <c:v>6.8067219078872727E-12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2.6519655211592874</c:v>
                </c:pt>
                <c:pt idx="2">
                  <c:v>3.2610223314459752</c:v>
                </c:pt>
                <c:pt idx="3">
                  <c:v>4.0104905158163051</c:v>
                </c:pt>
                <c:pt idx="4">
                  <c:v>4.9328564726428068</c:v>
                </c:pt>
                <c:pt idx="5">
                  <c:v>6.068147991440398</c:v>
                </c:pt>
                <c:pt idx="6">
                  <c:v>7.4656903389318279</c:v>
                </c:pt>
                <c:pt idx="7">
                  <c:v>9.1862724344194735</c:v>
                </c:pt>
                <c:pt idx="8">
                  <c:v>11.304819130811806</c:v>
                </c:pt>
                <c:pt idx="9">
                  <c:v>13.913688152008866</c:v>
                </c:pt>
                <c:pt idx="10">
                  <c:v>17.126738071781514</c:v>
                </c:pt>
                <c:pt idx="11">
                  <c:v>21.084348102790369</c:v>
                </c:pt>
                <c:pt idx="12">
                  <c:v>25.959612940843225</c:v>
                </c:pt>
                <c:pt idx="13">
                  <c:v>31.965988387315338</c:v>
                </c:pt>
                <c:pt idx="14">
                  <c:v>39.366728311080898</c:v>
                </c:pt>
                <c:pt idx="15">
                  <c:v>48.486533626988098</c:v>
                </c:pt>
                <c:pt idx="16">
                  <c:v>59.725932966858835</c:v>
                </c:pt>
                <c:pt idx="17">
                  <c:v>73.579037059713301</c:v>
                </c:pt>
                <c:pt idx="18">
                  <c:v>90.655460033245092</c:v>
                </c:pt>
                <c:pt idx="19">
                  <c:v>111.70738771533587</c:v>
                </c:pt>
                <c:pt idx="20">
                  <c:v>137.66300398229683</c:v>
                </c:pt>
                <c:pt idx="21">
                  <c:v>141.70314168283105</c:v>
                </c:pt>
                <c:pt idx="22">
                  <c:v>156.7381873159442</c:v>
                </c:pt>
                <c:pt idx="23">
                  <c:v>171.73898922232453</c:v>
                </c:pt>
                <c:pt idx="24">
                  <c:v>186.70896148611726</c:v>
                </c:pt>
                <c:pt idx="25">
                  <c:v>201.65092519188457</c:v>
                </c:pt>
                <c:pt idx="26">
                  <c:v>216.56724871446315</c:v>
                </c:pt>
                <c:pt idx="27">
                  <c:v>231.45994723108015</c:v>
                </c:pt>
                <c:pt idx="28">
                  <c:v>246.33075522558093</c:v>
                </c:pt>
                <c:pt idx="29">
                  <c:v>261.18118053705035</c:v>
                </c:pt>
                <c:pt idx="30">
                  <c:v>276.01254545472335</c:v>
                </c:pt>
                <c:pt idx="31">
                  <c:v>234.36323716840602</c:v>
                </c:pt>
                <c:pt idx="32">
                  <c:v>254.30172220416441</c:v>
                </c:pt>
                <c:pt idx="33">
                  <c:v>274.20482243650338</c:v>
                </c:pt>
                <c:pt idx="34">
                  <c:v>294.07546687495898</c:v>
                </c:pt>
                <c:pt idx="35">
                  <c:v>313.91615631143912</c:v>
                </c:pt>
                <c:pt idx="36">
                  <c:v>333.72904960580678</c:v>
                </c:pt>
                <c:pt idx="37">
                  <c:v>353.51602838820548</c:v>
                </c:pt>
                <c:pt idx="38">
                  <c:v>373.27874650728057</c:v>
                </c:pt>
                <c:pt idx="39">
                  <c:v>393.01866845402543</c:v>
                </c:pt>
                <c:pt idx="40">
                  <c:v>412.73709966044299</c:v>
                </c:pt>
                <c:pt idx="41">
                  <c:v>332.28900698270718</c:v>
                </c:pt>
                <c:pt idx="42">
                  <c:v>352.43737829470524</c:v>
                </c:pt>
                <c:pt idx="43">
                  <c:v>372.56050997482794</c:v>
                </c:pt>
                <c:pt idx="44">
                  <c:v>392.65995633948432</c:v>
                </c:pt>
                <c:pt idx="45">
                  <c:v>412.73709966044294</c:v>
                </c:pt>
                <c:pt idx="46">
                  <c:v>432.7931768227923</c:v>
                </c:pt>
                <c:pt idx="47">
                  <c:v>452.82930078346516</c:v>
                </c:pt>
                <c:pt idx="48">
                  <c:v>472.8464780341605</c:v>
                </c:pt>
                <c:pt idx="49">
                  <c:v>492.84562295362849</c:v>
                </c:pt>
                <c:pt idx="50">
                  <c:v>512.82756970962589</c:v>
                </c:pt>
                <c:pt idx="51">
                  <c:v>430.28728010448077</c:v>
                </c:pt>
                <c:pt idx="52">
                  <c:v>447.822083688443</c:v>
                </c:pt>
                <c:pt idx="53">
                  <c:v>465.34219697734244</c:v>
                </c:pt>
                <c:pt idx="54">
                  <c:v>482.848250644968</c:v>
                </c:pt>
                <c:pt idx="55">
                  <c:v>500.34082592690083</c:v>
                </c:pt>
                <c:pt idx="56">
                  <c:v>517.82046012438161</c:v>
                </c:pt>
                <c:pt idx="57">
                  <c:v>535.28765132659362</c:v>
                </c:pt>
                <c:pt idx="58">
                  <c:v>552.74286248474129</c:v>
                </c:pt>
                <c:pt idx="59">
                  <c:v>570.18652494495939</c:v>
                </c:pt>
                <c:pt idx="60">
                  <c:v>587.61904152662339</c:v>
                </c:pt>
                <c:pt idx="61">
                  <c:v>503.01710610159353</c:v>
                </c:pt>
                <c:pt idx="62">
                  <c:v>518.17705616178989</c:v>
                </c:pt>
                <c:pt idx="63">
                  <c:v>533.3276533779632</c:v>
                </c:pt>
                <c:pt idx="64">
                  <c:v>548.46920075259288</c:v>
                </c:pt>
                <c:pt idx="65">
                  <c:v>563.60198320153904</c:v>
                </c:pt>
                <c:pt idx="66">
                  <c:v>578.72626910034865</c:v>
                </c:pt>
                <c:pt idx="67">
                  <c:v>593.84231166058748</c:v>
                </c:pt>
                <c:pt idx="68">
                  <c:v>608.9503501588116</c:v>
                </c:pt>
                <c:pt idx="69">
                  <c:v>624.05061103730088</c:v>
                </c:pt>
                <c:pt idx="70">
                  <c:v>639.14330889277016</c:v>
                </c:pt>
                <c:pt idx="71">
                  <c:v>552.74286248474129</c:v>
                </c:pt>
                <c:pt idx="72">
                  <c:v>565.91565317360812</c:v>
                </c:pt>
                <c:pt idx="73">
                  <c:v>579.08203442466458</c:v>
                </c:pt>
                <c:pt idx="74">
                  <c:v>592.24217245006037</c:v>
                </c:pt>
                <c:pt idx="75">
                  <c:v>605.39622547563874</c:v>
                </c:pt>
                <c:pt idx="76">
                  <c:v>618.54434429348237</c:v>
                </c:pt>
                <c:pt idx="77">
                  <c:v>631.6866727650571</c:v>
                </c:pt>
                <c:pt idx="78">
                  <c:v>644.82334828032594</c:v>
                </c:pt>
                <c:pt idx="79">
                  <c:v>657.954502177525</c:v>
                </c:pt>
                <c:pt idx="80">
                  <c:v>671.08026012770199</c:v>
                </c:pt>
                <c:pt idx="81">
                  <c:v>583.35086355242265</c:v>
                </c:pt>
                <c:pt idx="82">
                  <c:v>595.08680233554469</c:v>
                </c:pt>
                <c:pt idx="83">
                  <c:v>606.81792719810755</c:v>
                </c:pt>
                <c:pt idx="84">
                  <c:v>618.54434429348237</c:v>
                </c:pt>
                <c:pt idx="85">
                  <c:v>630.26615542315426</c:v>
                </c:pt>
                <c:pt idx="86">
                  <c:v>641.98345829445509</c:v>
                </c:pt>
                <c:pt idx="87">
                  <c:v>653.69634675850784</c:v>
                </c:pt>
                <c:pt idx="88">
                  <c:v>665.40491103024135</c:v>
                </c:pt>
                <c:pt idx="89">
                  <c:v>677.10923789211859</c:v>
                </c:pt>
                <c:pt idx="90">
                  <c:v>688.80941088305383</c:v>
                </c:pt>
                <c:pt idx="91">
                  <c:v>599.8864745901825</c:v>
                </c:pt>
                <c:pt idx="92">
                  <c:v>610.37187931946244</c:v>
                </c:pt>
                <c:pt idx="93">
                  <c:v>620.85354700868629</c:v>
                </c:pt>
                <c:pt idx="94">
                  <c:v>631.33154962955371</c:v>
                </c:pt>
                <c:pt idx="95">
                  <c:v>641.80595657052174</c:v>
                </c:pt>
                <c:pt idx="96">
                  <c:v>652.27683477106223</c:v>
                </c:pt>
                <c:pt idx="97">
                  <c:v>662.74424884685482</c:v>
                </c:pt>
                <c:pt idx="98">
                  <c:v>673.20826120666038</c:v>
                </c:pt>
                <c:pt idx="99">
                  <c:v>683.66893216155495</c:v>
                </c:pt>
                <c:pt idx="100">
                  <c:v>694.12632002713235</c:v>
                </c:pt>
                <c:pt idx="101">
                  <c:v>605.75165740042155</c:v>
                </c:pt>
                <c:pt idx="102">
                  <c:v>614.99137555182222</c:v>
                </c:pt>
                <c:pt idx="103">
                  <c:v>624.22821574393265</c:v>
                </c:pt>
                <c:pt idx="104">
                  <c:v>633.4622265621307</c:v>
                </c:pt>
                <c:pt idx="105">
                  <c:v>642.69345505999547</c:v>
                </c:pt>
                <c:pt idx="106">
                  <c:v>651.92194682938123</c:v>
                </c:pt>
                <c:pt idx="107">
                  <c:v>661.14774606631465</c:v>
                </c:pt>
                <c:pt idx="108">
                  <c:v>670.37089563302823</c:v>
                </c:pt>
                <c:pt idx="109">
                  <c:v>679.59143711639888</c:v>
                </c:pt>
                <c:pt idx="110">
                  <c:v>688.80941088305337</c:v>
                </c:pt>
                <c:pt idx="111">
                  <c:v>606.28479716717038</c:v>
                </c:pt>
                <c:pt idx="112">
                  <c:v>614.28073080742161</c:v>
                </c:pt>
                <c:pt idx="113">
                  <c:v>622.27450634851618</c:v>
                </c:pt>
                <c:pt idx="114">
                  <c:v>630.26615542315403</c:v>
                </c:pt>
                <c:pt idx="115">
                  <c:v>638.25570879642146</c:v>
                </c:pt>
                <c:pt idx="116">
                  <c:v>646.24319640038686</c:v>
                </c:pt>
                <c:pt idx="117">
                  <c:v>654.22864736689314</c:v>
                </c:pt>
                <c:pt idx="118">
                  <c:v>662.21209005866956</c:v>
                </c:pt>
                <c:pt idx="119">
                  <c:v>670.19355209886214</c:v>
                </c:pt>
                <c:pt idx="120">
                  <c:v>678.17306039908749</c:v>
                </c:pt>
                <c:pt idx="121">
                  <c:v>602.01940560599712</c:v>
                </c:pt>
                <c:pt idx="122">
                  <c:v>609.30573889991354</c:v>
                </c:pt>
                <c:pt idx="123">
                  <c:v>616.59026400024413</c:v>
                </c:pt>
                <c:pt idx="124">
                  <c:v>623.87300528400885</c:v>
                </c:pt>
                <c:pt idx="125">
                  <c:v>631.15398651263888</c:v>
                </c:pt>
                <c:pt idx="126">
                  <c:v>638.43323085459633</c:v>
                </c:pt>
                <c:pt idx="127">
                  <c:v>645.71076090691292</c:v>
                </c:pt>
                <c:pt idx="128">
                  <c:v>652.98659871570203</c:v>
                </c:pt>
                <c:pt idx="129">
                  <c:v>660.26076579571293</c:v>
                </c:pt>
                <c:pt idx="130">
                  <c:v>667.53328314897692</c:v>
                </c:pt>
                <c:pt idx="131">
                  <c:v>596.15346552704329</c:v>
                </c:pt>
                <c:pt idx="132">
                  <c:v>602.90808047917312</c:v>
                </c:pt>
                <c:pt idx="133">
                  <c:v>609.66112333848082</c:v>
                </c:pt>
                <c:pt idx="134">
                  <c:v>616.41261397739322</c:v>
                </c:pt>
                <c:pt idx="135">
                  <c:v>623.16257179744491</c:v>
                </c:pt>
                <c:pt idx="136">
                  <c:v>629.9110157455292</c:v>
                </c:pt>
                <c:pt idx="137">
                  <c:v>636.65796432941295</c:v>
                </c:pt>
                <c:pt idx="138">
                  <c:v>643.40343563256113</c:v>
                </c:pt>
                <c:pt idx="139">
                  <c:v>650.14744732830798</c:v>
                </c:pt>
                <c:pt idx="140">
                  <c:v>656.89001669340769</c:v>
                </c:pt>
                <c:pt idx="141">
                  <c:v>590.10851345584717</c:v>
                </c:pt>
                <c:pt idx="142">
                  <c:v>596.15346552704364</c:v>
                </c:pt>
                <c:pt idx="143">
                  <c:v>602.19714276019192</c:v>
                </c:pt>
                <c:pt idx="144">
                  <c:v>608.23955975752642</c:v>
                </c:pt>
                <c:pt idx="145">
                  <c:v>614.28073080742195</c:v>
                </c:pt>
                <c:pt idx="146">
                  <c:v>620.32066989422731</c:v>
                </c:pt>
                <c:pt idx="147">
                  <c:v>626.35939070769678</c:v>
                </c:pt>
                <c:pt idx="148">
                  <c:v>632.39690665203761</c:v>
                </c:pt>
                <c:pt idx="149">
                  <c:v>638.43323085459633</c:v>
                </c:pt>
                <c:pt idx="150">
                  <c:v>644.46837617419669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57" t="s">
        <v>291</v>
      </c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</row>
    <row r="13" spans="2:13" ht="15" customHeight="1" x14ac:dyDescent="0.25"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</row>
    <row r="14" spans="2:13" ht="15" customHeight="1" x14ac:dyDescent="0.25"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</row>
    <row r="15" spans="2:13" ht="18.75" customHeight="1" x14ac:dyDescent="0.25"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</row>
    <row r="16" spans="2:13" ht="18.75" customHeight="1" x14ac:dyDescent="0.25"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</row>
    <row r="18" spans="2:13" ht="12" customHeight="1" x14ac:dyDescent="0.25">
      <c r="B18" s="257" t="s">
        <v>292</v>
      </c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</row>
    <row r="19" spans="2:13" ht="12" customHeight="1" x14ac:dyDescent="0.25">
      <c r="B19" s="257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</row>
    <row r="20" spans="2:13" ht="12" customHeight="1" x14ac:dyDescent="0.25"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</row>
    <row r="21" spans="2:13" ht="12" customHeight="1" x14ac:dyDescent="0.25">
      <c r="B21" s="257"/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</row>
    <row r="22" spans="2:13" ht="12" customHeight="1" x14ac:dyDescent="0.25">
      <c r="B22" s="257"/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</row>
    <row r="23" spans="2:13" ht="12" customHeight="1" x14ac:dyDescent="0.25">
      <c r="B23" s="257"/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</row>
    <row r="24" spans="2:13" ht="12" customHeight="1" x14ac:dyDescent="0.25">
      <c r="B24" s="257"/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</row>
    <row r="25" spans="2:13" ht="12" customHeight="1" x14ac:dyDescent="0.25"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</row>
    <row r="26" spans="2:13" ht="12" customHeight="1" x14ac:dyDescent="0.25">
      <c r="B26" s="257"/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</row>
    <row r="27" spans="2:13" ht="12" customHeight="1" x14ac:dyDescent="0.25"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</row>
    <row r="28" spans="2:13" ht="12" customHeight="1" x14ac:dyDescent="0.25"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</row>
    <row r="29" spans="2:13" ht="12" customHeight="1" x14ac:dyDescent="0.25">
      <c r="B29" s="257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</row>
    <row r="30" spans="2:13" ht="12" customHeight="1" x14ac:dyDescent="0.25"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</row>
    <row r="31" spans="2:13" ht="12" customHeight="1" x14ac:dyDescent="0.25"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pageSetUpPr fitToPage="1"/>
  </sheetPr>
  <dimension ref="A1:AS427"/>
  <sheetViews>
    <sheetView tabSelected="1" topLeftCell="A32" zoomScale="80" zoomScaleNormal="80" workbookViewId="0">
      <selection activeCell="L78" sqref="L78"/>
    </sheetView>
  </sheetViews>
  <sheetFormatPr baseColWidth="10" defaultColWidth="11.42578125" defaultRowHeight="15" x14ac:dyDescent="0.25"/>
  <cols>
    <col min="1" max="1" width="13.7109375" style="23" customWidth="1"/>
    <col min="2" max="2" width="36.140625" style="23" customWidth="1"/>
    <col min="3" max="3" width="14.85546875" style="23" bestFit="1" customWidth="1"/>
    <col min="4" max="4" width="16.42578125" style="23" customWidth="1"/>
    <col min="5" max="5" width="23.28515625" style="23" customWidth="1"/>
    <col min="6" max="6" width="28.85546875" style="23" bestFit="1" customWidth="1"/>
    <col min="7" max="8" width="14.7109375" style="23" customWidth="1"/>
    <col min="9" max="9" width="17" style="23" customWidth="1"/>
    <col min="10" max="10" width="13.85546875" style="23" customWidth="1"/>
    <col min="11" max="16384" width="11.42578125" style="23"/>
  </cols>
  <sheetData>
    <row r="1" spans="1:38" x14ac:dyDescent="0.25">
      <c r="A1" s="4"/>
      <c r="B1" s="4"/>
      <c r="C1" s="258" t="s">
        <v>190</v>
      </c>
      <c r="D1" s="258"/>
      <c r="E1" s="258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.75" thickBot="1" x14ac:dyDescent="0.3">
      <c r="A2" s="4"/>
      <c r="B2" s="4"/>
      <c r="C2" s="4"/>
      <c r="D2" s="4"/>
      <c r="E2" s="4"/>
      <c r="F2" s="4"/>
      <c r="G2" s="4"/>
      <c r="H2" s="4"/>
      <c r="I2" s="211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7" thickBot="1" x14ac:dyDescent="0.3">
      <c r="A3" s="4"/>
      <c r="B3" s="263" t="s">
        <v>192</v>
      </c>
      <c r="C3" s="264"/>
      <c r="D3" s="264"/>
      <c r="E3" s="264"/>
      <c r="F3" s="265"/>
      <c r="G3" s="89"/>
      <c r="I3" s="211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.25" x14ac:dyDescent="0.25">
      <c r="A4" s="90"/>
      <c r="B4" s="90"/>
      <c r="C4" s="90"/>
      <c r="D4" s="90"/>
      <c r="E4" s="90"/>
      <c r="F4" s="90"/>
      <c r="G4" s="218"/>
      <c r="I4" s="211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.25" x14ac:dyDescent="0.25">
      <c r="A5" s="268" t="s">
        <v>231</v>
      </c>
      <c r="B5" s="268"/>
      <c r="C5" s="24">
        <v>65.511799999999994</v>
      </c>
      <c r="D5" s="269" t="s">
        <v>229</v>
      </c>
      <c r="E5" s="270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25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.25" x14ac:dyDescent="0.25">
      <c r="A7" s="267" t="s">
        <v>226</v>
      </c>
      <c r="B7" s="267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25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25">
      <c r="A9" s="30" t="s">
        <v>165</v>
      </c>
      <c r="B9" s="31" t="s">
        <v>36</v>
      </c>
      <c r="C9" s="32">
        <v>0.92</v>
      </c>
      <c r="D9" s="33">
        <f t="shared" ref="D9:D18" si="0">C9*$C$5</f>
        <v>60.270855999999995</v>
      </c>
      <c r="E9" s="34">
        <v>62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306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25">
      <c r="A10" s="30" t="s">
        <v>166</v>
      </c>
      <c r="B10" s="31" t="s">
        <v>11</v>
      </c>
      <c r="C10" s="32">
        <v>0.08</v>
      </c>
      <c r="D10" s="33">
        <f t="shared" si="0"/>
        <v>5.2409439999999998</v>
      </c>
      <c r="E10" s="34">
        <v>150</v>
      </c>
      <c r="F10" s="35" t="str">
        <f t="array" ref="F10">IF(E10="","",IF(INDEX(A:A,MAX(IF(ISNUMBER($A$62:$A$81),ROW($A$62:$A$81),"")))&lt;&gt;E10,"Corrigez : révolution incorrecte","OK"))</f>
        <v>OK</v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25">
      <c r="A11" s="30" t="s">
        <v>167</v>
      </c>
      <c r="B11" s="31"/>
      <c r="C11" s="32"/>
      <c r="D11" s="33">
        <f t="shared" si="0"/>
        <v>0</v>
      </c>
      <c r="E11" s="34"/>
      <c r="F11" s="35" t="str">
        <f t="array" ref="F11">IF(E11="","",IF(INDEX(A:A,MAX(IF(ISNUMBER($A$88:$A$107),ROW($A$88:$A$107),"")))&lt;&gt;E11,"Corrigez : révolution incorrecte","OK"))</f>
        <v/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25">
      <c r="A12" s="30" t="s">
        <v>168</v>
      </c>
      <c r="B12" s="31"/>
      <c r="C12" s="32"/>
      <c r="D12" s="33">
        <f t="shared" si="0"/>
        <v>0</v>
      </c>
      <c r="E12" s="34"/>
      <c r="F12" s="35" t="str">
        <f t="array" ref="F12">IF(E12="","",IF(INDEX(A:A,MAX(IF(ISNUMBER($A$114:$A$133),ROW($A$114:$A$133),"")))&lt;&gt;E12,"Corrigez : révolution incorrecte","OK"))</f>
        <v/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25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25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25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25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25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25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25">
      <c r="A19" s="78"/>
      <c r="B19" s="36" t="s">
        <v>175</v>
      </c>
      <c r="C19" s="37">
        <f>SUM(C9:C18)</f>
        <v>1</v>
      </c>
      <c r="D19" s="38">
        <f>SUM(D9:D18)</f>
        <v>65.511799999999994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25">
      <c r="A20" s="78"/>
      <c r="B20" s="39" t="s">
        <v>230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25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35">
      <c r="A22" s="266" t="s">
        <v>232</v>
      </c>
      <c r="B22" s="266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2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25">
      <c r="A24" s="41" t="s">
        <v>218</v>
      </c>
      <c r="B24" s="42" t="s">
        <v>224</v>
      </c>
      <c r="C24" s="43">
        <v>0.2</v>
      </c>
      <c r="D24" s="44" t="s">
        <v>233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25">
      <c r="A25" s="41" t="s">
        <v>220</v>
      </c>
      <c r="B25" s="42" t="s">
        <v>219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25">
      <c r="A26" s="41" t="s">
        <v>222</v>
      </c>
      <c r="B26" s="42" t="s">
        <v>221</v>
      </c>
      <c r="C26" s="43">
        <v>0.15</v>
      </c>
      <c r="D26" s="44" t="s">
        <v>234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25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2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2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25">
      <c r="A30" s="267" t="s">
        <v>227</v>
      </c>
      <c r="B30" s="267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25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25">
      <c r="A32" s="46" t="s">
        <v>165</v>
      </c>
      <c r="B32" s="47" t="str">
        <f>IF(B9="","",B9)</f>
        <v>Pin maritime</v>
      </c>
      <c r="D32" s="229" t="s">
        <v>307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25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25">
      <c r="A34" s="4"/>
      <c r="B34" s="85" t="s">
        <v>185</v>
      </c>
      <c r="C34" s="259" t="s">
        <v>186</v>
      </c>
      <c r="D34" s="259"/>
      <c r="E34" s="260" t="s">
        <v>187</v>
      </c>
      <c r="F34" s="261"/>
      <c r="G34" s="261"/>
      <c r="H34" s="262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5" x14ac:dyDescent="0.25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25">
      <c r="A36" s="50">
        <v>12</v>
      </c>
      <c r="B36" s="60">
        <v>46.2</v>
      </c>
      <c r="C36" s="60">
        <v>1</v>
      </c>
      <c r="D36" s="60">
        <v>0</v>
      </c>
      <c r="E36" s="51"/>
      <c r="F36" s="51"/>
      <c r="G36" s="51"/>
      <c r="H36" s="51"/>
      <c r="I36" s="49">
        <f>IFERROR(B36/A36,"")</f>
        <v>3.85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25">
      <c r="A37" s="50">
        <v>16</v>
      </c>
      <c r="B37" s="60">
        <v>107.5</v>
      </c>
      <c r="C37" s="60">
        <v>2</v>
      </c>
      <c r="D37" s="60">
        <v>25</v>
      </c>
      <c r="E37" s="51"/>
      <c r="F37" s="51"/>
      <c r="G37" s="51">
        <v>0.5</v>
      </c>
      <c r="H37" s="51">
        <v>0.5</v>
      </c>
      <c r="I37" s="53">
        <f t="shared" ref="I37:I55" si="1">IF(A37&lt;&gt;0,(B37-(B36-D36))/(A37-A36),"")</f>
        <v>15.324999999999999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25">
      <c r="A38" s="50">
        <v>20</v>
      </c>
      <c r="B38" s="60">
        <f>176.3-SUM(D36:D37)</f>
        <v>151.30000000000001</v>
      </c>
      <c r="C38" s="60">
        <v>3</v>
      </c>
      <c r="D38" s="60">
        <v>33.700000000000003</v>
      </c>
      <c r="E38" s="51">
        <v>0.2</v>
      </c>
      <c r="F38" s="51"/>
      <c r="G38" s="51">
        <v>0.6</v>
      </c>
      <c r="H38" s="51">
        <v>0.2</v>
      </c>
      <c r="I38" s="53">
        <f t="shared" si="1"/>
        <v>17.200000000000003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25">
      <c r="A39" s="50">
        <v>24</v>
      </c>
      <c r="B39" s="60">
        <f>255.9-SUM(D36:D38)</f>
        <v>197.2</v>
      </c>
      <c r="C39" s="60">
        <v>4</v>
      </c>
      <c r="D39" s="60">
        <v>42.9</v>
      </c>
      <c r="E39" s="51">
        <v>0.3</v>
      </c>
      <c r="F39" s="51"/>
      <c r="G39" s="51">
        <v>0.5</v>
      </c>
      <c r="H39" s="51">
        <v>0.2</v>
      </c>
      <c r="I39" s="49">
        <f t="shared" si="1"/>
        <v>19.899999999999995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25">
      <c r="A40" s="50">
        <v>28</v>
      </c>
      <c r="B40" s="60">
        <f>335.4-SUM(D36:D39)</f>
        <v>233.79999999999998</v>
      </c>
      <c r="C40" s="60">
        <v>5</v>
      </c>
      <c r="D40" s="60">
        <v>41.4</v>
      </c>
      <c r="E40" s="51">
        <v>0.5</v>
      </c>
      <c r="F40" s="51"/>
      <c r="G40" s="51">
        <v>0.4</v>
      </c>
      <c r="H40" s="51">
        <v>0.1</v>
      </c>
      <c r="I40" s="49">
        <f t="shared" si="1"/>
        <v>19.875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25">
      <c r="A41" s="50">
        <v>34</v>
      </c>
      <c r="B41" s="60">
        <f>447.6-SUM(D36:D40)</f>
        <v>304.60000000000002</v>
      </c>
      <c r="C41" s="60">
        <v>6</v>
      </c>
      <c r="D41" s="60">
        <v>59.9</v>
      </c>
      <c r="E41" s="51">
        <v>0.7</v>
      </c>
      <c r="F41" s="51"/>
      <c r="G41" s="51">
        <v>0.2</v>
      </c>
      <c r="H41" s="51">
        <v>0.1</v>
      </c>
      <c r="I41" s="53">
        <f t="shared" si="1"/>
        <v>18.700000000000006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25">
      <c r="A42" s="50">
        <v>40</v>
      </c>
      <c r="B42" s="60">
        <f>536.7-SUM(D36:D41)</f>
        <v>333.80000000000007</v>
      </c>
      <c r="C42" s="60">
        <v>7</v>
      </c>
      <c r="D42" s="60">
        <v>34.1</v>
      </c>
      <c r="E42" s="51"/>
      <c r="F42" s="51"/>
      <c r="G42" s="51"/>
      <c r="H42" s="51"/>
      <c r="I42" s="53">
        <f t="shared" si="1"/>
        <v>14.850000000000009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25">
      <c r="A43" s="50">
        <v>46</v>
      </c>
      <c r="B43" s="60">
        <f>603-SUM(D36:D42)</f>
        <v>366</v>
      </c>
      <c r="C43" s="60">
        <v>8</v>
      </c>
      <c r="D43" s="60">
        <v>21.3</v>
      </c>
      <c r="E43" s="51"/>
      <c r="F43" s="51"/>
      <c r="G43" s="51"/>
      <c r="H43" s="51"/>
      <c r="I43" s="49">
        <f t="shared" si="1"/>
        <v>11.049999999999992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25">
      <c r="A44" s="50">
        <v>54</v>
      </c>
      <c r="B44" s="60">
        <f>661.4-SUM(D36:D43)</f>
        <v>403.09999999999997</v>
      </c>
      <c r="C44" s="60">
        <v>9</v>
      </c>
      <c r="D44" s="60">
        <v>17.399999999999999</v>
      </c>
      <c r="E44" s="51"/>
      <c r="F44" s="51"/>
      <c r="G44" s="51"/>
      <c r="H44" s="51"/>
      <c r="I44" s="49">
        <f t="shared" si="1"/>
        <v>7.2999999999999972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25">
      <c r="A45" s="50">
        <v>62</v>
      </c>
      <c r="B45" s="60">
        <f>685.7-SUM(D36:D44)</f>
        <v>410.00000000000006</v>
      </c>
      <c r="C45" s="60">
        <v>10</v>
      </c>
      <c r="D45" s="60">
        <f>B45</f>
        <v>410.00000000000006</v>
      </c>
      <c r="E45" s="51"/>
      <c r="F45" s="51"/>
      <c r="G45" s="51"/>
      <c r="H45" s="51"/>
      <c r="I45" s="49">
        <f t="shared" si="1"/>
        <v>3.0375000000000085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25">
      <c r="A46" s="50"/>
      <c r="B46" s="60"/>
      <c r="C46" s="60"/>
      <c r="D46" s="60"/>
      <c r="E46" s="51"/>
      <c r="F46" s="51"/>
      <c r="G46" s="51"/>
      <c r="H46" s="51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25">
      <c r="A47" s="50"/>
      <c r="B47" s="60"/>
      <c r="C47" s="60"/>
      <c r="D47" s="60"/>
      <c r="E47" s="51"/>
      <c r="F47" s="51"/>
      <c r="G47" s="51"/>
      <c r="H47" s="51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25">
      <c r="A48" s="50"/>
      <c r="B48" s="60"/>
      <c r="C48" s="60"/>
      <c r="D48" s="60"/>
      <c r="E48" s="51"/>
      <c r="F48" s="51"/>
      <c r="G48" s="51"/>
      <c r="H48" s="51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25">
      <c r="A49" s="50"/>
      <c r="B49" s="60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25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25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25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25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25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25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2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2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25">
      <c r="A58" s="46" t="s">
        <v>166</v>
      </c>
      <c r="B58" s="52" t="str">
        <f>IF(B10="","",B10)</f>
        <v>Chêne pédonculé</v>
      </c>
      <c r="D58" s="229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25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25">
      <c r="A60" s="4"/>
      <c r="B60" s="85" t="s">
        <v>185</v>
      </c>
      <c r="C60" s="259" t="s">
        <v>186</v>
      </c>
      <c r="D60" s="259"/>
      <c r="E60" s="260" t="s">
        <v>187</v>
      </c>
      <c r="F60" s="261"/>
      <c r="G60" s="261"/>
      <c r="H60" s="262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5" x14ac:dyDescent="0.25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25">
      <c r="A62" s="50">
        <v>20</v>
      </c>
      <c r="B62" s="60">
        <v>73</v>
      </c>
      <c r="C62" s="60">
        <v>1</v>
      </c>
      <c r="D62" s="60">
        <v>6</v>
      </c>
      <c r="E62" s="51"/>
      <c r="F62" s="51"/>
      <c r="G62" s="51"/>
      <c r="H62" s="51">
        <v>1</v>
      </c>
      <c r="I62" s="53">
        <f>IFERROR(B62/A62,"")</f>
        <v>3.65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25">
      <c r="A63" s="50">
        <v>30</v>
      </c>
      <c r="B63" s="60">
        <f>155-D62</f>
        <v>149</v>
      </c>
      <c r="C63" s="60">
        <v>2</v>
      </c>
      <c r="D63" s="60">
        <v>34</v>
      </c>
      <c r="E63" s="51"/>
      <c r="F63" s="51"/>
      <c r="G63" s="51"/>
      <c r="H63" s="51">
        <v>1</v>
      </c>
      <c r="I63" s="49">
        <f>IF(A63&lt;&gt;0,(B63-(B62-D62))/(A63-A62),"")</f>
        <v>8.1999999999999993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25">
      <c r="A64" s="50">
        <v>40</v>
      </c>
      <c r="B64" s="60">
        <f>265-SUM($D62:D$63)</f>
        <v>225</v>
      </c>
      <c r="C64" s="60">
        <v>3</v>
      </c>
      <c r="D64" s="60">
        <v>56</v>
      </c>
      <c r="E64" s="51"/>
      <c r="F64" s="51"/>
      <c r="G64" s="51"/>
      <c r="H64" s="51">
        <v>1</v>
      </c>
      <c r="I64" s="49">
        <f>IF(A64&lt;&gt;0,(B64-(B63-D63))/(A64-A63),"")</f>
        <v>11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25">
      <c r="A65" s="50">
        <v>50</v>
      </c>
      <c r="B65" s="60">
        <f>377-SUM($D62:D$64)</f>
        <v>281</v>
      </c>
      <c r="C65" s="60">
        <v>4</v>
      </c>
      <c r="D65" s="60">
        <v>56</v>
      </c>
      <c r="E65" s="51">
        <v>1</v>
      </c>
      <c r="F65" s="51"/>
      <c r="G65" s="51"/>
      <c r="H65" s="51"/>
      <c r="I65" s="49">
        <f>IF(A65&lt;&gt;0,(B65-(B64-D64))/(A65-A64),"")</f>
        <v>11.2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25">
      <c r="A66" s="50">
        <v>60</v>
      </c>
      <c r="B66" s="60">
        <f>475-SUM($D62:D$65)</f>
        <v>323</v>
      </c>
      <c r="C66" s="60">
        <v>5</v>
      </c>
      <c r="D66" s="60">
        <v>56</v>
      </c>
      <c r="E66" s="51"/>
      <c r="F66" s="51"/>
      <c r="G66" s="51"/>
      <c r="H66" s="51"/>
      <c r="I66" s="49">
        <f t="shared" ref="I66:I81" si="2">IF(A66&lt;&gt;0,(B66-(B65-D65))/(A66-A65),"")</f>
        <v>9.8000000000000007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25">
      <c r="A67" s="50">
        <v>70</v>
      </c>
      <c r="B67" s="60">
        <f>560-SUM($D62:D$66)</f>
        <v>352</v>
      </c>
      <c r="C67" s="60">
        <v>6</v>
      </c>
      <c r="D67" s="60">
        <v>56</v>
      </c>
      <c r="E67" s="51">
        <v>1</v>
      </c>
      <c r="F67" s="51"/>
      <c r="G67" s="51"/>
      <c r="H67" s="51"/>
      <c r="I67" s="49">
        <f t="shared" si="2"/>
        <v>8.5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25">
      <c r="A68" s="50">
        <v>80</v>
      </c>
      <c r="B68" s="60">
        <f>634-SUM($D62:D$67)</f>
        <v>370</v>
      </c>
      <c r="C68" s="60">
        <v>7</v>
      </c>
      <c r="D68" s="60">
        <v>56</v>
      </c>
      <c r="E68" s="51"/>
      <c r="F68" s="51"/>
      <c r="G68" s="51"/>
      <c r="H68" s="51"/>
      <c r="I68" s="49">
        <f t="shared" si="2"/>
        <v>7.4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25">
      <c r="A69" s="50">
        <v>90</v>
      </c>
      <c r="B69" s="50">
        <f>700-SUM($D62:D$68)</f>
        <v>380</v>
      </c>
      <c r="C69" s="50">
        <v>8</v>
      </c>
      <c r="D69" s="50">
        <v>56</v>
      </c>
      <c r="E69" s="51">
        <v>1</v>
      </c>
      <c r="F69" s="51"/>
      <c r="G69" s="51"/>
      <c r="H69" s="51"/>
      <c r="I69" s="49">
        <f t="shared" si="2"/>
        <v>6.6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25">
      <c r="A70" s="50">
        <v>100</v>
      </c>
      <c r="B70" s="50">
        <f>759-SUM($D62:D$69)</f>
        <v>383</v>
      </c>
      <c r="C70" s="50">
        <v>9</v>
      </c>
      <c r="D70" s="50">
        <v>55</v>
      </c>
      <c r="E70" s="51"/>
      <c r="F70" s="51"/>
      <c r="G70" s="51"/>
      <c r="H70" s="51"/>
      <c r="I70" s="49">
        <f t="shared" si="2"/>
        <v>5.9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25">
      <c r="A71" s="50">
        <v>110</v>
      </c>
      <c r="B71" s="50">
        <f>811-SUM($D62:D$70)</f>
        <v>380</v>
      </c>
      <c r="C71" s="50">
        <v>10</v>
      </c>
      <c r="D71" s="50">
        <v>51</v>
      </c>
      <c r="E71" s="51">
        <v>1</v>
      </c>
      <c r="F71" s="51"/>
      <c r="G71" s="51"/>
      <c r="H71" s="51"/>
      <c r="I71" s="49">
        <f t="shared" si="2"/>
        <v>5.2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25">
      <c r="A72" s="50">
        <v>120</v>
      </c>
      <c r="B72" s="50">
        <v>374</v>
      </c>
      <c r="C72" s="50">
        <v>11</v>
      </c>
      <c r="D72" s="50">
        <v>47</v>
      </c>
      <c r="E72" s="51"/>
      <c r="F72" s="51"/>
      <c r="G72" s="51"/>
      <c r="H72" s="51"/>
      <c r="I72" s="49">
        <f t="shared" si="2"/>
        <v>4.5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25">
      <c r="A73" s="50">
        <v>130</v>
      </c>
      <c r="B73" s="50">
        <v>368</v>
      </c>
      <c r="C73" s="50">
        <v>12</v>
      </c>
      <c r="D73" s="50">
        <v>44</v>
      </c>
      <c r="E73" s="51">
        <v>1</v>
      </c>
      <c r="F73" s="51"/>
      <c r="G73" s="51"/>
      <c r="H73" s="51"/>
      <c r="I73" s="49">
        <f t="shared" si="2"/>
        <v>4.0999999999999996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25">
      <c r="A74" s="50">
        <v>140</v>
      </c>
      <c r="B74" s="50">
        <v>362</v>
      </c>
      <c r="C74" s="50">
        <v>13</v>
      </c>
      <c r="D74" s="50">
        <v>41</v>
      </c>
      <c r="E74" s="51"/>
      <c r="F74" s="51"/>
      <c r="G74" s="51"/>
      <c r="H74" s="51"/>
      <c r="I74" s="49">
        <f t="shared" si="2"/>
        <v>3.8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25">
      <c r="A75" s="50">
        <v>150</v>
      </c>
      <c r="B75" s="50">
        <v>355</v>
      </c>
      <c r="C75" s="50">
        <v>14</v>
      </c>
      <c r="D75" s="50">
        <v>355</v>
      </c>
      <c r="E75" s="51">
        <v>1</v>
      </c>
      <c r="F75" s="51"/>
      <c r="G75" s="51"/>
      <c r="H75" s="51"/>
      <c r="I75" s="49">
        <f t="shared" si="2"/>
        <v>3.4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25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25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25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25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25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25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2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2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25">
      <c r="A84" s="46" t="s">
        <v>167</v>
      </c>
      <c r="B84" s="52" t="str">
        <f>IF(B11="","",B11)</f>
        <v/>
      </c>
      <c r="D84" s="229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25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25">
      <c r="A86" s="4"/>
      <c r="B86" s="85" t="s">
        <v>185</v>
      </c>
      <c r="C86" s="259" t="s">
        <v>186</v>
      </c>
      <c r="D86" s="259"/>
      <c r="E86" s="260" t="s">
        <v>187</v>
      </c>
      <c r="F86" s="261"/>
      <c r="G86" s="261"/>
      <c r="H86" s="262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5" x14ac:dyDescent="0.25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25">
      <c r="A88" s="50"/>
      <c r="B88" s="60"/>
      <c r="C88" s="60"/>
      <c r="D88" s="60"/>
      <c r="E88" s="51"/>
      <c r="F88" s="51"/>
      <c r="G88" s="51"/>
      <c r="H88" s="87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25">
      <c r="A89" s="50"/>
      <c r="B89" s="60"/>
      <c r="C89" s="60"/>
      <c r="D89" s="60"/>
      <c r="E89" s="51"/>
      <c r="F89" s="51"/>
      <c r="G89" s="51"/>
      <c r="H89" s="87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25">
      <c r="A90" s="50"/>
      <c r="B90" s="60"/>
      <c r="C90" s="60"/>
      <c r="D90" s="60"/>
      <c r="E90" s="87"/>
      <c r="F90" s="87"/>
      <c r="G90" s="87"/>
      <c r="H90" s="87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25">
      <c r="A91" s="50"/>
      <c r="B91" s="60"/>
      <c r="C91" s="60"/>
      <c r="D91" s="60"/>
      <c r="E91" s="87"/>
      <c r="F91" s="87"/>
      <c r="G91" s="87"/>
      <c r="H91" s="87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25">
      <c r="A92" s="50"/>
      <c r="B92" s="60"/>
      <c r="C92" s="60"/>
      <c r="D92" s="60"/>
      <c r="E92" s="87"/>
      <c r="F92" s="87"/>
      <c r="G92" s="87"/>
      <c r="H92" s="87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25">
      <c r="A93" s="50"/>
      <c r="B93" s="60"/>
      <c r="C93" s="60"/>
      <c r="D93" s="60"/>
      <c r="E93" s="87"/>
      <c r="F93" s="87"/>
      <c r="G93" s="87"/>
      <c r="H93" s="87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25">
      <c r="A94" s="50"/>
      <c r="B94" s="60"/>
      <c r="C94" s="60"/>
      <c r="D94" s="60"/>
      <c r="E94" s="87"/>
      <c r="F94" s="87"/>
      <c r="G94" s="87"/>
      <c r="H94" s="87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25">
      <c r="A95" s="60"/>
      <c r="B95" s="60"/>
      <c r="C95" s="60"/>
      <c r="D95" s="60"/>
      <c r="E95" s="87"/>
      <c r="F95" s="87"/>
      <c r="G95" s="87"/>
      <c r="H95" s="87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25">
      <c r="A96" s="60"/>
      <c r="B96" s="60"/>
      <c r="C96" s="60"/>
      <c r="D96" s="60"/>
      <c r="E96" s="87"/>
      <c r="F96" s="87"/>
      <c r="G96" s="87"/>
      <c r="H96" s="87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25">
      <c r="A97" s="60"/>
      <c r="B97" s="60"/>
      <c r="C97" s="60"/>
      <c r="D97" s="60"/>
      <c r="E97" s="87"/>
      <c r="F97" s="87"/>
      <c r="G97" s="87"/>
      <c r="H97" s="87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25">
      <c r="A98" s="60"/>
      <c r="B98" s="60"/>
      <c r="C98" s="60"/>
      <c r="D98" s="60"/>
      <c r="E98" s="87"/>
      <c r="F98" s="87"/>
      <c r="G98" s="87"/>
      <c r="H98" s="87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25">
      <c r="A99" s="60"/>
      <c r="B99" s="60"/>
      <c r="C99" s="60"/>
      <c r="D99" s="60"/>
      <c r="E99" s="87"/>
      <c r="F99" s="87"/>
      <c r="G99" s="87"/>
      <c r="H99" s="87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25">
      <c r="A100" s="60"/>
      <c r="B100" s="60"/>
      <c r="C100" s="60"/>
      <c r="D100" s="60"/>
      <c r="E100" s="65"/>
      <c r="F100" s="65"/>
      <c r="G100" s="65"/>
      <c r="H100" s="65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25">
      <c r="A101" s="60"/>
      <c r="B101" s="60"/>
      <c r="C101" s="60"/>
      <c r="D101" s="60"/>
      <c r="E101" s="65"/>
      <c r="F101" s="65"/>
      <c r="G101" s="65"/>
      <c r="H101" s="65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25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25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25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25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25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25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2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2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25">
      <c r="A110" s="46" t="s">
        <v>168</v>
      </c>
      <c r="B110" s="52" t="str">
        <f>IF(B12="","",B12)</f>
        <v/>
      </c>
      <c r="D110" s="229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25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25">
      <c r="A112" s="4"/>
      <c r="B112" s="85" t="s">
        <v>185</v>
      </c>
      <c r="C112" s="259" t="s">
        <v>186</v>
      </c>
      <c r="D112" s="259"/>
      <c r="E112" s="260" t="s">
        <v>187</v>
      </c>
      <c r="F112" s="261"/>
      <c r="G112" s="261"/>
      <c r="H112" s="262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5" x14ac:dyDescent="0.25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25">
      <c r="A114" s="50"/>
      <c r="B114" s="60"/>
      <c r="C114" s="50"/>
      <c r="D114" s="60"/>
      <c r="E114" s="51"/>
      <c r="F114" s="51"/>
      <c r="G114" s="51"/>
      <c r="H114" s="51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25">
      <c r="A115" s="50"/>
      <c r="B115" s="60"/>
      <c r="C115" s="50"/>
      <c r="D115" s="60"/>
      <c r="E115" s="51"/>
      <c r="F115" s="51"/>
      <c r="G115" s="51"/>
      <c r="H115" s="51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25">
      <c r="A116" s="50"/>
      <c r="B116" s="60"/>
      <c r="C116" s="50"/>
      <c r="D116" s="60"/>
      <c r="E116" s="51"/>
      <c r="F116" s="51"/>
      <c r="G116" s="51"/>
      <c r="H116" s="51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25">
      <c r="A117" s="50"/>
      <c r="B117" s="60"/>
      <c r="C117" s="50"/>
      <c r="D117" s="60"/>
      <c r="E117" s="51"/>
      <c r="F117" s="51"/>
      <c r="G117" s="51"/>
      <c r="H117" s="51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25">
      <c r="A118" s="50"/>
      <c r="B118" s="60"/>
      <c r="C118" s="50"/>
      <c r="D118" s="60"/>
      <c r="E118" s="51"/>
      <c r="F118" s="51"/>
      <c r="G118" s="51"/>
      <c r="H118" s="51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25">
      <c r="A119" s="50"/>
      <c r="B119" s="60"/>
      <c r="C119" s="50"/>
      <c r="D119" s="60"/>
      <c r="E119" s="51"/>
      <c r="F119" s="51"/>
      <c r="G119" s="51"/>
      <c r="H119" s="51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25">
      <c r="A120" s="60"/>
      <c r="B120" s="60"/>
      <c r="C120" s="60"/>
      <c r="D120" s="60"/>
      <c r="E120" s="87"/>
      <c r="F120" s="87"/>
      <c r="G120" s="87"/>
      <c r="H120" s="87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25">
      <c r="A121" s="60"/>
      <c r="B121" s="60"/>
      <c r="C121" s="60"/>
      <c r="D121" s="60"/>
      <c r="E121" s="87"/>
      <c r="F121" s="87"/>
      <c r="G121" s="87"/>
      <c r="H121" s="87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25">
      <c r="A122" s="60"/>
      <c r="B122" s="60"/>
      <c r="C122" s="60"/>
      <c r="D122" s="60"/>
      <c r="E122" s="87"/>
      <c r="F122" s="87"/>
      <c r="G122" s="87"/>
      <c r="H122" s="87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25">
      <c r="A123" s="60"/>
      <c r="B123" s="60"/>
      <c r="C123" s="60"/>
      <c r="D123" s="60"/>
      <c r="E123" s="87"/>
      <c r="F123" s="87"/>
      <c r="G123" s="87"/>
      <c r="H123" s="87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25">
      <c r="A124" s="60"/>
      <c r="B124" s="60"/>
      <c r="C124" s="60"/>
      <c r="D124" s="60"/>
      <c r="E124" s="87"/>
      <c r="F124" s="87"/>
      <c r="G124" s="87"/>
      <c r="H124" s="87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25">
      <c r="A125" s="60"/>
      <c r="B125" s="60"/>
      <c r="C125" s="60"/>
      <c r="D125" s="60"/>
      <c r="E125" s="87"/>
      <c r="F125" s="87"/>
      <c r="G125" s="87"/>
      <c r="H125" s="87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25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25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25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25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25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25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25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25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2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2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25">
      <c r="A136" s="46" t="s">
        <v>169</v>
      </c>
      <c r="B136" s="52" t="str">
        <f>IF(B13="","",B13)</f>
        <v/>
      </c>
      <c r="D136" s="229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25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25">
      <c r="A138" s="4"/>
      <c r="B138" s="85" t="s">
        <v>185</v>
      </c>
      <c r="C138" s="259" t="s">
        <v>186</v>
      </c>
      <c r="D138" s="259"/>
      <c r="E138" s="260" t="s">
        <v>187</v>
      </c>
      <c r="F138" s="261"/>
      <c r="G138" s="261"/>
      <c r="H138" s="262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5" x14ac:dyDescent="0.25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25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25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25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25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25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25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25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25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2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2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2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2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2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2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2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2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2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2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2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2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2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2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25">
      <c r="A162" s="46" t="s">
        <v>170</v>
      </c>
      <c r="B162" s="52" t="str">
        <f>IF(B14="","",B14)</f>
        <v/>
      </c>
      <c r="D162" s="229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25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25">
      <c r="A164" s="4"/>
      <c r="B164" s="85" t="s">
        <v>185</v>
      </c>
      <c r="C164" s="259" t="s">
        <v>186</v>
      </c>
      <c r="D164" s="259"/>
      <c r="E164" s="260" t="s">
        <v>187</v>
      </c>
      <c r="F164" s="261"/>
      <c r="G164" s="261"/>
      <c r="H164" s="262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5" x14ac:dyDescent="0.25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2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2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2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2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2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2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2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2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2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2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2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2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2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2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2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2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2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2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2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2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2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2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25">
      <c r="A188" s="46" t="s">
        <v>171</v>
      </c>
      <c r="B188" s="52" t="str">
        <f>IF(B15="","",B15)</f>
        <v/>
      </c>
      <c r="D188" s="229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25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25">
      <c r="A190" s="4"/>
      <c r="B190" s="85" t="s">
        <v>185</v>
      </c>
      <c r="C190" s="259" t="s">
        <v>186</v>
      </c>
      <c r="D190" s="259"/>
      <c r="E190" s="260" t="s">
        <v>187</v>
      </c>
      <c r="F190" s="261"/>
      <c r="G190" s="261"/>
      <c r="H190" s="262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5" x14ac:dyDescent="0.25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2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2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2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2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2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2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2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2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2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2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2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2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2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2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2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2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2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2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2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2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2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2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25">
      <c r="A214" s="46" t="s">
        <v>172</v>
      </c>
      <c r="B214" s="52" t="str">
        <f>IF(B16="","",B16)</f>
        <v/>
      </c>
      <c r="D214" s="229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25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25">
      <c r="A216" s="4"/>
      <c r="B216" s="85" t="s">
        <v>185</v>
      </c>
      <c r="C216" s="259" t="s">
        <v>186</v>
      </c>
      <c r="D216" s="259"/>
      <c r="E216" s="260" t="s">
        <v>187</v>
      </c>
      <c r="F216" s="261"/>
      <c r="G216" s="261"/>
      <c r="H216" s="262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5" x14ac:dyDescent="0.25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2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2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2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2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2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2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2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2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2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2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2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2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2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25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2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2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2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2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2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2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2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2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25">
      <c r="A240" s="46" t="s">
        <v>173</v>
      </c>
      <c r="B240" s="52" t="str">
        <f>IF(B17="","",B17)</f>
        <v/>
      </c>
      <c r="D240" s="229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25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25">
      <c r="A242" s="4"/>
      <c r="B242" s="85" t="s">
        <v>185</v>
      </c>
      <c r="C242" s="259" t="s">
        <v>186</v>
      </c>
      <c r="D242" s="259"/>
      <c r="E242" s="260" t="s">
        <v>187</v>
      </c>
      <c r="F242" s="261"/>
      <c r="G242" s="261"/>
      <c r="H242" s="262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5" x14ac:dyDescent="0.25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2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25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25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2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2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2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2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2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2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2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2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2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2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25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2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2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2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2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2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2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2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2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25">
      <c r="A266" s="46" t="s">
        <v>174</v>
      </c>
      <c r="B266" s="52" t="str">
        <f>IF(B18="","",B18)</f>
        <v/>
      </c>
      <c r="D266" s="229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25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25">
      <c r="A268" s="4"/>
      <c r="B268" s="85" t="s">
        <v>185</v>
      </c>
      <c r="C268" s="259" t="s">
        <v>186</v>
      </c>
      <c r="D268" s="259"/>
      <c r="E268" s="260" t="s">
        <v>187</v>
      </c>
      <c r="F268" s="261"/>
      <c r="G268" s="261"/>
      <c r="H268" s="262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5" x14ac:dyDescent="0.25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2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2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2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2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2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2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2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2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2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2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2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2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2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25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2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2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2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2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2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2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2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2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2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2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2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2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2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2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2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2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2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2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2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2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2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2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2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2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2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2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2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2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2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2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2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2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2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2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2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2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2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2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2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2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2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2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2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2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2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2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2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2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2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2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2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2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2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2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2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2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2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2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2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2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2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2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2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2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2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2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2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2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2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2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2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2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2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2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2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2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2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2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2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2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2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2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2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2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2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2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2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2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2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2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2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2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2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2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2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2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2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2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2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2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2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2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2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2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2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2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2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2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2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2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2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2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2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2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2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2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2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2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2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2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2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2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2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2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2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2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2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2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2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2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2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2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2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2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2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2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2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2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2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2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2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2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2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2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scale="33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>
    <pageSetUpPr fitToPage="1"/>
  </sheetPr>
  <dimension ref="A1:AL163"/>
  <sheetViews>
    <sheetView zoomScaleNormal="100" workbookViewId="0">
      <selection activeCell="C28" sqref="C28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7" thickBot="1" x14ac:dyDescent="0.45">
      <c r="A2" s="4"/>
      <c r="B2" s="272" t="s">
        <v>191</v>
      </c>
      <c r="C2" s="273"/>
      <c r="D2" s="273"/>
      <c r="E2" s="273"/>
      <c r="F2" s="273"/>
      <c r="G2" s="274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2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25">
      <c r="A4" s="4"/>
      <c r="B4" s="271"/>
      <c r="C4" s="271"/>
      <c r="D4" s="271"/>
      <c r="E4" s="271"/>
      <c r="F4" s="271"/>
      <c r="G4" s="271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25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25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25">
      <c r="A7" s="99"/>
      <c r="B7" s="26" t="s">
        <v>295</v>
      </c>
      <c r="C7" s="100" t="s">
        <v>214</v>
      </c>
      <c r="D7" s="215"/>
      <c r="E7" s="101"/>
      <c r="F7" s="26" t="s">
        <v>295</v>
      </c>
      <c r="G7" s="100" t="s">
        <v>215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25">
      <c r="A8" s="105">
        <v>1</v>
      </c>
      <c r="B8" s="61">
        <v>0</v>
      </c>
      <c r="C8" s="49" t="s">
        <v>177</v>
      </c>
      <c r="D8" s="23"/>
      <c r="E8" s="105">
        <v>4</v>
      </c>
      <c r="F8" s="61">
        <v>1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25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25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1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25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2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25">
      <c r="A13" s="216"/>
      <c r="B13" s="107"/>
      <c r="C13" s="98" t="s">
        <v>273</v>
      </c>
      <c r="D13" s="216"/>
      <c r="E13" s="99"/>
      <c r="F13" s="107"/>
      <c r="G13" s="98" t="s">
        <v>301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25">
      <c r="A14" s="216"/>
      <c r="B14" s="107"/>
      <c r="C14" s="98" t="s">
        <v>309</v>
      </c>
      <c r="D14" s="216"/>
      <c r="E14" s="99"/>
      <c r="F14" s="107"/>
      <c r="G14" s="98" t="s">
        <v>294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25">
      <c r="A15" s="23"/>
      <c r="B15" s="26" t="s">
        <v>295</v>
      </c>
      <c r="C15" s="4"/>
      <c r="D15" s="23"/>
      <c r="E15" s="4"/>
      <c r="F15" s="4"/>
      <c r="G15" s="2" t="s">
        <v>148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25">
      <c r="A16" s="23"/>
      <c r="B16" s="61">
        <v>0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25">
      <c r="A17" s="23"/>
      <c r="B17" s="61">
        <v>0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25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25">
      <c r="A19" s="23"/>
      <c r="B19" s="106">
        <f>SUM(B16:B18)</f>
        <v>0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2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2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2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2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2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2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2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2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2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2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2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2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2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2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2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2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2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2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2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2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2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2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2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2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2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2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2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2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2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2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2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2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2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2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2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2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2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2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2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2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2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25">
      <c r="C104" s="4"/>
      <c r="F104" s="4"/>
    </row>
    <row r="105" spans="3:35" x14ac:dyDescent="0.25">
      <c r="C105" s="4"/>
      <c r="F105" s="4"/>
    </row>
    <row r="106" spans="3:35" x14ac:dyDescent="0.25">
      <c r="C106" s="4"/>
      <c r="F106" s="4"/>
    </row>
    <row r="107" spans="3:35" x14ac:dyDescent="0.25">
      <c r="C107" s="4"/>
      <c r="F107" s="4"/>
    </row>
    <row r="108" spans="3:35" x14ac:dyDescent="0.25">
      <c r="C108" s="4"/>
      <c r="F108" s="4"/>
    </row>
    <row r="109" spans="3:35" x14ac:dyDescent="0.25">
      <c r="C109" s="4"/>
      <c r="F109" s="4"/>
    </row>
    <row r="110" spans="3:35" x14ac:dyDescent="0.25">
      <c r="C110" s="4"/>
      <c r="F110" s="4"/>
    </row>
    <row r="111" spans="3:35" x14ac:dyDescent="0.25">
      <c r="C111" s="4"/>
      <c r="F111" s="4"/>
    </row>
    <row r="112" spans="3:35" x14ac:dyDescent="0.25">
      <c r="C112" s="4"/>
      <c r="F112" s="4"/>
    </row>
    <row r="113" spans="3:6" x14ac:dyDescent="0.25">
      <c r="C113" s="4"/>
      <c r="F113" s="4"/>
    </row>
    <row r="114" spans="3:6" x14ac:dyDescent="0.25">
      <c r="C114" s="4"/>
      <c r="F114" s="4"/>
    </row>
    <row r="115" spans="3:6" x14ac:dyDescent="0.25">
      <c r="C115" s="4"/>
      <c r="F115" s="4"/>
    </row>
    <row r="116" spans="3:6" x14ac:dyDescent="0.25">
      <c r="C116" s="4"/>
      <c r="F116" s="4"/>
    </row>
    <row r="117" spans="3:6" x14ac:dyDescent="0.25">
      <c r="C117" s="4"/>
      <c r="F117" s="4"/>
    </row>
    <row r="118" spans="3:6" x14ac:dyDescent="0.25">
      <c r="C118" s="4"/>
      <c r="F118" s="4"/>
    </row>
    <row r="119" spans="3:6" x14ac:dyDescent="0.25">
      <c r="C119" s="4"/>
      <c r="F119" s="4"/>
    </row>
    <row r="120" spans="3:6" x14ac:dyDescent="0.25">
      <c r="C120" s="4"/>
      <c r="F120" s="4"/>
    </row>
    <row r="121" spans="3:6" x14ac:dyDescent="0.25">
      <c r="C121" s="4"/>
      <c r="F121" s="4"/>
    </row>
    <row r="122" spans="3:6" x14ac:dyDescent="0.25">
      <c r="C122" s="4"/>
      <c r="F122" s="4"/>
    </row>
    <row r="123" spans="3:6" x14ac:dyDescent="0.25">
      <c r="C123" s="4"/>
      <c r="F123" s="4"/>
    </row>
    <row r="124" spans="3:6" x14ac:dyDescent="0.25">
      <c r="C124" s="4"/>
      <c r="F124" s="4"/>
    </row>
    <row r="125" spans="3:6" x14ac:dyDescent="0.25">
      <c r="C125" s="4"/>
      <c r="F125" s="4"/>
    </row>
    <row r="126" spans="3:6" x14ac:dyDescent="0.25">
      <c r="C126" s="4"/>
      <c r="F126" s="4"/>
    </row>
    <row r="127" spans="3:6" x14ac:dyDescent="0.25">
      <c r="C127" s="4"/>
      <c r="F127" s="4"/>
    </row>
    <row r="128" spans="3:6" x14ac:dyDescent="0.25">
      <c r="C128" s="4"/>
      <c r="F128" s="4"/>
    </row>
    <row r="129" spans="3:6" x14ac:dyDescent="0.25">
      <c r="C129" s="4"/>
      <c r="F129" s="4"/>
    </row>
    <row r="130" spans="3:6" x14ac:dyDescent="0.25">
      <c r="C130" s="4"/>
      <c r="F130" s="4"/>
    </row>
    <row r="131" spans="3:6" x14ac:dyDescent="0.25">
      <c r="C131" s="4"/>
      <c r="F131" s="4"/>
    </row>
    <row r="132" spans="3:6" x14ac:dyDescent="0.25">
      <c r="F132" s="4"/>
    </row>
    <row r="133" spans="3:6" x14ac:dyDescent="0.25">
      <c r="F133" s="4"/>
    </row>
    <row r="134" spans="3:6" x14ac:dyDescent="0.25">
      <c r="F134" s="4"/>
    </row>
    <row r="135" spans="3:6" x14ac:dyDescent="0.25">
      <c r="F135" s="4"/>
    </row>
    <row r="136" spans="3:6" x14ac:dyDescent="0.25">
      <c r="F136" s="4"/>
    </row>
    <row r="137" spans="3:6" x14ac:dyDescent="0.25">
      <c r="F137" s="4"/>
    </row>
    <row r="138" spans="3:6" x14ac:dyDescent="0.25">
      <c r="F138" s="4"/>
    </row>
    <row r="139" spans="3:6" x14ac:dyDescent="0.25">
      <c r="F139" s="4"/>
    </row>
    <row r="140" spans="3:6" x14ac:dyDescent="0.25">
      <c r="F140" s="4"/>
    </row>
    <row r="141" spans="3:6" x14ac:dyDescent="0.25">
      <c r="F141" s="4"/>
    </row>
    <row r="142" spans="3:6" x14ac:dyDescent="0.25">
      <c r="F142" s="4"/>
    </row>
    <row r="143" spans="3:6" x14ac:dyDescent="0.25">
      <c r="F143" s="4"/>
    </row>
    <row r="144" spans="3:6" x14ac:dyDescent="0.25">
      <c r="F144" s="4"/>
    </row>
    <row r="145" spans="6:6" x14ac:dyDescent="0.25">
      <c r="F145" s="4"/>
    </row>
    <row r="146" spans="6:6" x14ac:dyDescent="0.25">
      <c r="F146" s="4"/>
    </row>
    <row r="147" spans="6:6" x14ac:dyDescent="0.25">
      <c r="F147" s="4"/>
    </row>
    <row r="148" spans="6:6" x14ac:dyDescent="0.25">
      <c r="F148" s="4"/>
    </row>
    <row r="149" spans="6:6" x14ac:dyDescent="0.25">
      <c r="F149" s="4"/>
    </row>
    <row r="150" spans="6:6" x14ac:dyDescent="0.25">
      <c r="F150" s="4"/>
    </row>
    <row r="151" spans="6:6" x14ac:dyDescent="0.25">
      <c r="F151" s="4"/>
    </row>
    <row r="152" spans="6:6" x14ac:dyDescent="0.25">
      <c r="F152" s="4"/>
    </row>
    <row r="153" spans="6:6" x14ac:dyDescent="0.25">
      <c r="F153" s="4"/>
    </row>
    <row r="154" spans="6:6" x14ac:dyDescent="0.25">
      <c r="F154" s="4"/>
    </row>
    <row r="155" spans="6:6" x14ac:dyDescent="0.25">
      <c r="F155" s="4"/>
    </row>
    <row r="156" spans="6:6" x14ac:dyDescent="0.25">
      <c r="F156" s="4"/>
    </row>
    <row r="157" spans="6:6" x14ac:dyDescent="0.25">
      <c r="F157" s="4"/>
    </row>
    <row r="158" spans="6:6" x14ac:dyDescent="0.25">
      <c r="F158" s="4"/>
    </row>
    <row r="159" spans="6:6" x14ac:dyDescent="0.25">
      <c r="F159" s="4"/>
    </row>
    <row r="160" spans="6:6" x14ac:dyDescent="0.25">
      <c r="F160" s="4"/>
    </row>
    <row r="161" spans="6:6" x14ac:dyDescent="0.25">
      <c r="F161" s="4"/>
    </row>
    <row r="162" spans="6:6" x14ac:dyDescent="0.25">
      <c r="F162" s="4"/>
    </row>
    <row r="163" spans="6:6" x14ac:dyDescent="0.2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scale="7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4" bestFit="1" customWidth="1"/>
    <col min="2" max="4" width="11.42578125" style="4"/>
    <col min="5" max="5" width="9.5703125" style="4" customWidth="1"/>
    <col min="6" max="7" width="11.42578125" style="4"/>
    <col min="8" max="8" width="10.7109375" style="4" customWidth="1"/>
    <col min="9" max="9" width="9.42578125" style="4" customWidth="1"/>
    <col min="10" max="11" width="10.5703125" style="4" bestFit="1" customWidth="1"/>
    <col min="12" max="12" width="14" style="4" bestFit="1" customWidth="1"/>
    <col min="13" max="13" width="14" style="4" customWidth="1"/>
    <col min="14" max="23" width="11.42578125" style="4"/>
    <col min="24" max="24" width="11.7109375" style="4" bestFit="1" customWidth="1"/>
    <col min="25" max="25" width="14.5703125" style="4" bestFit="1" customWidth="1"/>
    <col min="26" max="26" width="12.42578125" style="4" bestFit="1" customWidth="1"/>
    <col min="27" max="27" width="9.7109375" style="4" bestFit="1" customWidth="1"/>
    <col min="28" max="28" width="11" style="4" bestFit="1" customWidth="1"/>
    <col min="29" max="29" width="9.42578125" style="4" bestFit="1" customWidth="1"/>
    <col min="30" max="31" width="9.42578125" style="4" customWidth="1"/>
    <col min="32" max="32" width="11.42578125" style="4"/>
    <col min="33" max="34" width="14" style="4" bestFit="1" customWidth="1"/>
    <col min="35" max="35" width="10.5703125" style="4" bestFit="1" customWidth="1"/>
    <col min="36" max="36" width="9.42578125" style="4" bestFit="1" customWidth="1"/>
    <col min="37" max="38" width="10.5703125" style="4" bestFit="1" customWidth="1"/>
    <col min="39" max="41" width="10.5703125" style="4" customWidth="1"/>
    <col min="42" max="42" width="9" style="4" bestFit="1" customWidth="1"/>
    <col min="43" max="43" width="10.5703125" style="4" bestFit="1" customWidth="1"/>
    <col min="44" max="44" width="9.28515625" style="4" bestFit="1" customWidth="1"/>
    <col min="45" max="45" width="11.7109375" style="4" bestFit="1" customWidth="1"/>
    <col min="46" max="46" width="8.42578125" style="4" bestFit="1" customWidth="1"/>
    <col min="47" max="47" width="9.42578125" style="4" bestFit="1" customWidth="1"/>
    <col min="48" max="48" width="9.7109375" style="4" bestFit="1" customWidth="1"/>
    <col min="49" max="49" width="11" style="4" bestFit="1" customWidth="1"/>
    <col min="50" max="50" width="9.42578125" style="4" bestFit="1" customWidth="1"/>
    <col min="51" max="52" width="9.42578125" style="4" customWidth="1"/>
    <col min="53" max="53" width="10.5703125" style="4" bestFit="1" customWidth="1"/>
    <col min="54" max="54" width="14.28515625" style="4" customWidth="1"/>
    <col min="55" max="55" width="14" style="4" customWidth="1"/>
    <col min="56" max="56" width="10.5703125" style="4" bestFit="1" customWidth="1"/>
    <col min="57" max="57" width="9.42578125" style="4" bestFit="1" customWidth="1"/>
    <col min="58" max="59" width="10.5703125" style="4" bestFit="1" customWidth="1"/>
    <col min="60" max="62" width="10.5703125" style="4" customWidth="1"/>
    <col min="63" max="63" width="9" style="4" bestFit="1" customWidth="1"/>
    <col min="64" max="64" width="10.5703125" style="4" bestFit="1" customWidth="1"/>
    <col min="65" max="65" width="9.28515625" style="4" bestFit="1" customWidth="1"/>
    <col min="66" max="66" width="11.7109375" style="4" bestFit="1" customWidth="1"/>
    <col min="67" max="67" width="8.42578125" style="4" bestFit="1" customWidth="1"/>
    <col min="68" max="68" width="9.42578125" style="4" bestFit="1" customWidth="1"/>
    <col min="69" max="69" width="9.7109375" style="4" bestFit="1" customWidth="1"/>
    <col min="70" max="70" width="11" style="4" bestFit="1" customWidth="1"/>
    <col min="71" max="71" width="9.42578125" style="4" bestFit="1" customWidth="1"/>
    <col min="72" max="73" width="9.42578125" style="4" customWidth="1"/>
    <col min="74" max="74" width="10.5703125" style="4" bestFit="1" customWidth="1"/>
    <col min="75" max="75" width="14" style="4" bestFit="1" customWidth="1"/>
    <col min="76" max="76" width="13.85546875" style="4" customWidth="1"/>
    <col min="77" max="77" width="10.5703125" style="4" bestFit="1" customWidth="1"/>
    <col min="78" max="78" width="9.42578125" style="4" bestFit="1" customWidth="1"/>
    <col min="79" max="80" width="10.5703125" style="4" bestFit="1" customWidth="1"/>
    <col min="81" max="83" width="10.5703125" style="4" customWidth="1"/>
    <col min="84" max="84" width="11.42578125" style="4"/>
    <col min="85" max="85" width="10.5703125" style="4" bestFit="1" customWidth="1"/>
    <col min="86" max="86" width="9.28515625" style="4" bestFit="1" customWidth="1"/>
    <col min="87" max="87" width="11.7109375" style="4" bestFit="1" customWidth="1"/>
    <col min="88" max="88" width="8.42578125" style="4" bestFit="1" customWidth="1"/>
    <col min="89" max="89" width="9.42578125" style="4" bestFit="1" customWidth="1"/>
    <col min="90" max="90" width="9.7109375" style="4" bestFit="1" customWidth="1"/>
    <col min="91" max="91" width="11" style="4" bestFit="1" customWidth="1"/>
    <col min="92" max="92" width="9.42578125" style="4" bestFit="1" customWidth="1"/>
    <col min="93" max="94" width="9.42578125" style="4" customWidth="1"/>
    <col min="95" max="95" width="11.42578125" style="4"/>
    <col min="96" max="97" width="14" style="4" customWidth="1"/>
    <col min="98" max="98" width="10.5703125" style="4" bestFit="1" customWidth="1"/>
    <col min="99" max="99" width="9.42578125" style="4" bestFit="1" customWidth="1"/>
    <col min="100" max="101" width="10.5703125" style="4" bestFit="1" customWidth="1"/>
    <col min="102" max="104" width="10.5703125" style="4" customWidth="1"/>
    <col min="105" max="105" width="9" style="4" bestFit="1" customWidth="1"/>
    <col min="106" max="106" width="10.5703125" style="4" bestFit="1" customWidth="1"/>
    <col min="107" max="107" width="9.28515625" style="4" bestFit="1" customWidth="1"/>
    <col min="108" max="108" width="11.7109375" style="4" bestFit="1" customWidth="1"/>
    <col min="109" max="109" width="8.42578125" style="4" bestFit="1" customWidth="1"/>
    <col min="110" max="110" width="9.42578125" style="4" bestFit="1" customWidth="1"/>
    <col min="111" max="111" width="9.7109375" style="4" bestFit="1" customWidth="1"/>
    <col min="112" max="112" width="11" style="4" bestFit="1" customWidth="1"/>
    <col min="113" max="113" width="9.42578125" style="4" bestFit="1" customWidth="1"/>
    <col min="114" max="115" width="9.42578125" style="4" customWidth="1"/>
    <col min="116" max="116" width="10.5703125" style="4" bestFit="1" customWidth="1"/>
    <col min="117" max="117" width="14.28515625" style="4" customWidth="1"/>
    <col min="118" max="118" width="14" style="4" bestFit="1" customWidth="1"/>
    <col min="119" max="119" width="10.5703125" style="4" bestFit="1" customWidth="1"/>
    <col min="120" max="120" width="9.42578125" style="4" bestFit="1" customWidth="1"/>
    <col min="121" max="122" width="10.5703125" style="4" bestFit="1" customWidth="1"/>
    <col min="123" max="125" width="10.5703125" style="4" customWidth="1"/>
    <col min="126" max="126" width="9" style="4" bestFit="1" customWidth="1"/>
    <col min="127" max="127" width="10.5703125" style="4" bestFit="1" customWidth="1"/>
    <col min="128" max="128" width="9.28515625" style="4" bestFit="1" customWidth="1"/>
    <col min="129" max="129" width="11.7109375" style="4" bestFit="1" customWidth="1"/>
    <col min="130" max="130" width="8.42578125" style="4" bestFit="1" customWidth="1"/>
    <col min="131" max="131" width="9.42578125" style="4" bestFit="1" customWidth="1"/>
    <col min="132" max="132" width="9.7109375" style="4" bestFit="1" customWidth="1"/>
    <col min="133" max="133" width="11" style="4" bestFit="1" customWidth="1"/>
    <col min="134" max="134" width="9.42578125" style="4" bestFit="1" customWidth="1"/>
    <col min="135" max="136" width="9.42578125" style="4" customWidth="1"/>
    <col min="137" max="137" width="10.5703125" style="4" bestFit="1" customWidth="1"/>
    <col min="138" max="139" width="14" style="4" customWidth="1"/>
    <col min="140" max="140" width="10.5703125" style="4" bestFit="1" customWidth="1"/>
    <col min="141" max="141" width="9.42578125" style="4" bestFit="1" customWidth="1"/>
    <col min="142" max="143" width="10.5703125" style="4" bestFit="1" customWidth="1"/>
    <col min="144" max="146" width="10.5703125" style="4" customWidth="1"/>
    <col min="147" max="147" width="9" style="4" bestFit="1" customWidth="1"/>
    <col min="148" max="148" width="10.5703125" style="4" bestFit="1" customWidth="1"/>
    <col min="149" max="149" width="9.28515625" style="4" bestFit="1" customWidth="1"/>
    <col min="150" max="150" width="11.7109375" style="4" bestFit="1" customWidth="1"/>
    <col min="151" max="151" width="8.42578125" style="4" bestFit="1" customWidth="1"/>
    <col min="152" max="152" width="9.42578125" style="4" bestFit="1" customWidth="1"/>
    <col min="153" max="153" width="9.7109375" style="4" bestFit="1" customWidth="1"/>
    <col min="154" max="154" width="11" style="4" bestFit="1" customWidth="1"/>
    <col min="155" max="155" width="9.42578125" style="4" bestFit="1" customWidth="1"/>
    <col min="156" max="157" width="9.42578125" style="4" customWidth="1"/>
    <col min="158" max="158" width="11.42578125" style="4"/>
    <col min="159" max="160" width="14" style="4" bestFit="1" customWidth="1"/>
    <col min="161" max="161" width="10.5703125" style="4" bestFit="1" customWidth="1"/>
    <col min="162" max="162" width="9.42578125" style="4" bestFit="1" customWidth="1"/>
    <col min="163" max="164" width="10.5703125" style="4" bestFit="1" customWidth="1"/>
    <col min="165" max="167" width="10.5703125" style="4" customWidth="1"/>
    <col min="168" max="168" width="9" style="4" bestFit="1" customWidth="1"/>
    <col min="169" max="169" width="10.5703125" style="4" bestFit="1" customWidth="1"/>
    <col min="170" max="170" width="9.28515625" style="4" bestFit="1" customWidth="1"/>
    <col min="171" max="171" width="11.7109375" style="4" bestFit="1" customWidth="1"/>
    <col min="172" max="172" width="8.140625" style="4" bestFit="1" customWidth="1"/>
    <col min="173" max="173" width="9.42578125" style="4" bestFit="1" customWidth="1"/>
    <col min="174" max="174" width="9.7109375" style="4" bestFit="1" customWidth="1"/>
    <col min="175" max="175" width="11" style="4" bestFit="1" customWidth="1"/>
    <col min="176" max="176" width="9.42578125" style="4" bestFit="1" customWidth="1"/>
    <col min="177" max="178" width="9.42578125" style="4" customWidth="1"/>
    <col min="179" max="179" width="10.5703125" style="4" bestFit="1" customWidth="1"/>
    <col min="180" max="181" width="14" style="4" bestFit="1" customWidth="1"/>
    <col min="182" max="182" width="10.5703125" style="4" bestFit="1" customWidth="1"/>
    <col min="183" max="183" width="9.42578125" style="4" bestFit="1" customWidth="1"/>
    <col min="184" max="185" width="10.5703125" style="4" bestFit="1" customWidth="1"/>
    <col min="186" max="188" width="10.5703125" style="4" customWidth="1"/>
    <col min="189" max="189" width="9" style="4" bestFit="1" customWidth="1"/>
    <col min="190" max="190" width="10.5703125" style="4" bestFit="1" customWidth="1"/>
    <col min="191" max="191" width="9.28515625" style="4" bestFit="1" customWidth="1"/>
    <col min="192" max="192" width="11.42578125" style="4"/>
    <col min="193" max="193" width="8.42578125" style="4" bestFit="1" customWidth="1"/>
    <col min="194" max="194" width="9.42578125" style="4" bestFit="1" customWidth="1"/>
    <col min="195" max="195" width="9.7109375" style="4" bestFit="1" customWidth="1"/>
    <col min="196" max="196" width="11" style="4" bestFit="1" customWidth="1"/>
    <col min="197" max="197" width="9.42578125" style="4" bestFit="1" customWidth="1"/>
    <col min="198" max="199" width="9.42578125" style="4" customWidth="1"/>
    <col min="200" max="200" width="10.5703125" style="4" bestFit="1" customWidth="1"/>
    <col min="201" max="201" width="14" style="4" customWidth="1"/>
    <col min="202" max="202" width="14.28515625" style="4" customWidth="1"/>
    <col min="203" max="203" width="10.5703125" style="4" bestFit="1" customWidth="1"/>
    <col min="204" max="204" width="9.42578125" style="4" bestFit="1" customWidth="1"/>
    <col min="205" max="206" width="10.5703125" style="4" bestFit="1" customWidth="1"/>
    <col min="207" max="209" width="10.5703125" style="4" customWidth="1"/>
    <col min="210" max="210" width="9" style="4" bestFit="1" customWidth="1"/>
    <col min="211" max="211" width="10.5703125" style="4" bestFit="1" customWidth="1"/>
    <col min="212" max="212" width="9.28515625" style="4" bestFit="1" customWidth="1"/>
    <col min="213" max="213" width="11.7109375" style="4" bestFit="1" customWidth="1"/>
    <col min="214" max="214" width="8.42578125" style="4" bestFit="1" customWidth="1"/>
    <col min="215" max="215" width="9.42578125" style="4" bestFit="1" customWidth="1"/>
    <col min="216" max="216" width="9.7109375" style="4" bestFit="1" customWidth="1"/>
    <col min="217" max="217" width="11" style="4" bestFit="1" customWidth="1"/>
    <col min="218" max="218" width="9.42578125" style="4" bestFit="1" customWidth="1"/>
    <col min="219" max="16384" width="11.42578125" style="4"/>
  </cols>
  <sheetData>
    <row r="1" spans="1:218" ht="27" thickBot="1" x14ac:dyDescent="0.45">
      <c r="B1" s="278" t="s">
        <v>176</v>
      </c>
      <c r="C1" s="279"/>
      <c r="D1" s="279"/>
      <c r="E1" s="279"/>
      <c r="F1" s="279"/>
      <c r="G1" s="279"/>
      <c r="H1" s="280"/>
      <c r="I1" s="275" t="str">
        <f>IF('Données projet'!$B$9="","",'Données projet'!$B$9)</f>
        <v>Pin maritime</v>
      </c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7"/>
      <c r="AD1" s="276" t="str">
        <f>IF('Données projet'!$B$10="","",'Données projet'!$B$10)</f>
        <v>Chêne pédonculé</v>
      </c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  <c r="AW1" s="276"/>
      <c r="AX1" s="277"/>
      <c r="AY1" s="275" t="str">
        <f>IF('Données projet'!$B$11="","",'Données projet'!$B$11)</f>
        <v/>
      </c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7"/>
      <c r="BT1" s="275" t="str">
        <f>IF('Données projet'!$B$12="","",'Données projet'!$B$12)</f>
        <v/>
      </c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7"/>
      <c r="CO1" s="275" t="str">
        <f>IF('Données projet'!$B$13="","",'Données projet'!$B$13)</f>
        <v/>
      </c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7"/>
      <c r="DJ1" s="275" t="str">
        <f>IF('Données projet'!$B$14="","",'Données projet'!$B$14)</f>
        <v/>
      </c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DW1" s="276"/>
      <c r="DX1" s="276"/>
      <c r="DY1" s="276"/>
      <c r="DZ1" s="276"/>
      <c r="EA1" s="276"/>
      <c r="EB1" s="276"/>
      <c r="EC1" s="276"/>
      <c r="ED1" s="277"/>
      <c r="EE1" s="275" t="str">
        <f>IF('Données projet'!$B$15="","",'Données projet'!$B$15)</f>
        <v/>
      </c>
      <c r="EF1" s="276"/>
      <c r="EG1" s="276"/>
      <c r="EH1" s="276"/>
      <c r="EI1" s="276"/>
      <c r="EJ1" s="276"/>
      <c r="EK1" s="276"/>
      <c r="EL1" s="276"/>
      <c r="EM1" s="276"/>
      <c r="EN1" s="276"/>
      <c r="EO1" s="276"/>
      <c r="EP1" s="276"/>
      <c r="EQ1" s="276"/>
      <c r="ER1" s="276"/>
      <c r="ES1" s="276"/>
      <c r="ET1" s="276"/>
      <c r="EU1" s="276"/>
      <c r="EV1" s="276"/>
      <c r="EW1" s="276"/>
      <c r="EX1" s="276"/>
      <c r="EY1" s="277"/>
      <c r="EZ1" s="275" t="str">
        <f>IF('Données projet'!$B$16="","",'Données projet'!$B$16)</f>
        <v/>
      </c>
      <c r="FA1" s="276"/>
      <c r="FB1" s="276"/>
      <c r="FC1" s="276"/>
      <c r="FD1" s="276"/>
      <c r="FE1" s="276"/>
      <c r="FF1" s="276"/>
      <c r="FG1" s="276"/>
      <c r="FH1" s="276"/>
      <c r="FI1" s="276"/>
      <c r="FJ1" s="276"/>
      <c r="FK1" s="276"/>
      <c r="FL1" s="276"/>
      <c r="FM1" s="276"/>
      <c r="FN1" s="276"/>
      <c r="FO1" s="276"/>
      <c r="FP1" s="276"/>
      <c r="FQ1" s="276"/>
      <c r="FR1" s="276"/>
      <c r="FS1" s="276"/>
      <c r="FT1" s="277"/>
      <c r="FU1" s="275" t="str">
        <f>IF('Données projet'!$B$17="","",'Données projet'!$B$17)</f>
        <v/>
      </c>
      <c r="FV1" s="276"/>
      <c r="FW1" s="276"/>
      <c r="FX1" s="276"/>
      <c r="FY1" s="276"/>
      <c r="FZ1" s="276"/>
      <c r="GA1" s="276"/>
      <c r="GB1" s="276"/>
      <c r="GC1" s="276"/>
      <c r="GD1" s="276"/>
      <c r="GE1" s="276"/>
      <c r="GF1" s="276"/>
      <c r="GG1" s="276"/>
      <c r="GH1" s="276"/>
      <c r="GI1" s="276"/>
      <c r="GJ1" s="276"/>
      <c r="GK1" s="276"/>
      <c r="GL1" s="276"/>
      <c r="GM1" s="276"/>
      <c r="GN1" s="276"/>
      <c r="GO1" s="277"/>
      <c r="GP1" s="275" t="str">
        <f>IF('Données projet'!$B$18="","",'Données projet'!$B$18)</f>
        <v/>
      </c>
      <c r="GQ1" s="276"/>
      <c r="GR1" s="276"/>
      <c r="GS1" s="276"/>
      <c r="GT1" s="276"/>
      <c r="GU1" s="276"/>
      <c r="GV1" s="276"/>
      <c r="GW1" s="276"/>
      <c r="GX1" s="276"/>
      <c r="GY1" s="276"/>
      <c r="GZ1" s="276"/>
      <c r="HA1" s="276"/>
      <c r="HB1" s="276"/>
      <c r="HC1" s="276"/>
      <c r="HD1" s="276"/>
      <c r="HE1" s="276"/>
      <c r="HF1" s="276"/>
      <c r="HG1" s="276"/>
      <c r="HH1" s="276"/>
      <c r="HI1" s="276"/>
      <c r="HJ1" s="277"/>
    </row>
    <row r="2" spans="1:218" ht="75.75" thickBot="1" x14ac:dyDescent="0.3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25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293.33333333333331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252.28378247570731</v>
      </c>
      <c r="T3" s="59">
        <f>IF('Données projet'!E9&gt;30,$R$33-$H$33,LOOKUP('Données projet'!$E$9,$A$3:$A$203,R3:R203)-LOOKUP('Données projet'!$E$9,$A$3:$A$203,$H$3:$H$203))</f>
        <v>263.50418595307343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382.67703499770795</v>
      </c>
      <c r="AO3" s="59">
        <f>IF('Données projet'!E10&gt;30,$AM$33-$H$33,LOOKUP('Données projet'!$E$10,$A$3:$A$203,AM3:AM203)-LOOKUP('Données projet'!$E$10,$A$3:$A$203,$H$3:$H$203))</f>
        <v>237.98926636458219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25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0.54600000000000004</v>
      </c>
      <c r="D4" s="11">
        <f>IFERROR(EXP(-1.0587+0.8836*LN(C4)+0.284),0)</f>
        <v>0.26998241883213048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6.2988116541427628</v>
      </c>
      <c r="H4" s="67">
        <f t="shared" ref="H4:H67" si="1">(B4+E4+F4)*44/12+(C4+D4)*0.475*44/12</f>
        <v>294.75450271279925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3.85</v>
      </c>
      <c r="N4" s="13">
        <f>IF('Données projet'!$A$36&gt;35,N3+M4-V3,IF(A4&lt;'Données projet'!$A$36,$K$205^A4,IF(A4='Données projet'!$A$36,'Données projet'!$B$36,N3+M4-V3)))</f>
        <v>1.3763223570336161</v>
      </c>
      <c r="O4" s="13">
        <f>N4*VLOOKUP('Données projet'!$B$9,Paramètres!$A$1:$I$89,3,0)*VLOOKUP('Données projet'!$B$9,Paramètres!$A$1:$I$89,5,0)</f>
        <v>0.82304076950610239</v>
      </c>
      <c r="P4" s="13">
        <f>EXP(-1.0587+0.8836*LN(O4)+0.284)</f>
        <v>0.38798806692284393</v>
      </c>
      <c r="Q4" s="20">
        <f t="shared" ref="Q4:Q34" si="2">(O4+P4)*0.475*44/12</f>
        <v>2.1092085567804149</v>
      </c>
      <c r="R4" s="59">
        <f t="shared" si="0"/>
        <v>295.44254189011372</v>
      </c>
      <c r="S4" s="59">
        <f ca="1">AVERAGE(OFFSET($R$3,0,0,'Données projet'!$E$9+1,1))-AVERAGE(OFFSET($H$3,0,0,'Données projet'!$E$9+1,1))</f>
        <v>252.28378247570731</v>
      </c>
      <c r="T4" s="59">
        <f>$T$3</f>
        <v>263.50418595307343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3.65</v>
      </c>
      <c r="AI4" s="13">
        <f>IF('Données projet'!$A$62&gt;35,AI3+AH4-AQ3,IF(A4&lt;'Données projet'!$A$62,$AF$205^A4,IF(A4='Données projet'!$A$62,'Données projet'!$B$62,AI3+AH4-AQ3)))</f>
        <v>1.2392705892426346</v>
      </c>
      <c r="AJ4" s="13">
        <f>AI4*VLOOKUP('Données projet'!$B$10,Paramètres!$A$1:$I$89,3,0)*VLOOKUP('Données projet'!$B$10,Paramètres!$A$1:$I$89,5,0)</f>
        <v>1.0439615443779955</v>
      </c>
      <c r="AK4" s="13">
        <f>EXP(-1.0587+0.8836*LN(AJ4)+0.284)</f>
        <v>0.478698084995758</v>
      </c>
      <c r="AL4" s="20">
        <f t="shared" ref="AL4:AL67" si="4">(AJ4+AK4)*0.475*44/12</f>
        <v>2.6519655211592874</v>
      </c>
      <c r="AM4" s="59">
        <f t="shared" ref="AM4:AM67" si="5">AL4+(AD4+AE4)*44/12</f>
        <v>295.98529885449261</v>
      </c>
      <c r="AN4" s="59">
        <f ca="1">AVERAGE(OFFSET($AM$3,0,0,'Données projet'!$E$10+1,1))-AVERAGE(OFFSET($H$3,0,0,'Données projet'!$E$10+1,1))</f>
        <v>382.67703499770795</v>
      </c>
      <c r="AO4" s="59">
        <f>$AO$3</f>
        <v>237.98926636458219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25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1.0920000000000001</v>
      </c>
      <c r="D5" s="11">
        <f t="shared" ref="D5:D68" si="32">IFERROR(EXP(-1.0587+0.8836*LN(C5)+0.284),0)</f>
        <v>0.49811037558348636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12.274536232574283</v>
      </c>
      <c r="H5" s="67">
        <f t="shared" si="1"/>
        <v>296.10277557080786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3.85</v>
      </c>
      <c r="N5" s="13">
        <f>IF('Données projet'!$A$36&gt;35,N4+M5-V4,IF(A5&lt;'Données projet'!$A$36,$K$205^A5,IF(A5='Données projet'!$A$36,'Données projet'!$B$36,N4+M5-V4)))</f>
        <v>1.8942632304705684</v>
      </c>
      <c r="O5" s="13">
        <f>N5*VLOOKUP('Données projet'!$B$9,Paramètres!$A$1:$I$89,3,0)*VLOOKUP('Données projet'!$B$9,Paramètres!$A$1:$I$89,5,0)</f>
        <v>1.1327694118214</v>
      </c>
      <c r="P5" s="13">
        <f t="shared" ref="P5:P68" si="33">EXP(-1.0587+0.8836*LN(O5)+0.284)</f>
        <v>0.51450725843982192</v>
      </c>
      <c r="Q5" s="20">
        <f t="shared" si="2"/>
        <v>2.8690068673716276</v>
      </c>
      <c r="R5" s="59">
        <f t="shared" si="0"/>
        <v>296.20234020070495</v>
      </c>
      <c r="S5" s="59">
        <f ca="1">AVERAGE(OFFSET($R$3,0,0,'Données projet'!$E$9+1,1))-AVERAGE(OFFSET($H$3,0,0,'Données projet'!$E$9+1,1))</f>
        <v>252.28378247570731</v>
      </c>
      <c r="T5" s="59">
        <f t="shared" ref="T5:T68" si="34">$T$3</f>
        <v>263.50418595307343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3.65</v>
      </c>
      <c r="AI5" s="13">
        <f>IF('Données projet'!$A$62&gt;35,AI4+AH5-AQ4,IF(A5&lt;'Données projet'!$A$62,$AF$205^A5,IF(A5='Données projet'!$A$62,'Données projet'!$B$62,AI4+AH5-AQ4)))</f>
        <v>1.5357915933617867</v>
      </c>
      <c r="AJ5" s="13">
        <f>AI5*VLOOKUP('Données projet'!$B$10,Paramètres!$A$1:$I$89,3,0)*VLOOKUP('Données projet'!$B$10,Paramètres!$A$1:$I$89,5,0)</f>
        <v>1.2937508382479692</v>
      </c>
      <c r="AK5" s="13">
        <f t="shared" ref="AK5:AK68" si="35">EXP(-1.0587+0.8836*LN(AJ5)+0.284)</f>
        <v>0.57860648124254321</v>
      </c>
      <c r="AL5" s="20">
        <f t="shared" si="4"/>
        <v>3.2610223314459752</v>
      </c>
      <c r="AM5" s="59">
        <f t="shared" si="5"/>
        <v>296.5943556647793</v>
      </c>
      <c r="AN5" s="59">
        <f ca="1">AVERAGE(OFFSET($AM$3,0,0,'Données projet'!$E$10+1,1))-AVERAGE(OFFSET($H$3,0,0,'Données projet'!$E$10+1,1))</f>
        <v>382.67703499770795</v>
      </c>
      <c r="AO5" s="59">
        <f t="shared" ref="AO5:AO68" si="36">$AO$3</f>
        <v>237.98926636458219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25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1.6380000000000001</v>
      </c>
      <c r="D6" s="11">
        <f t="shared" si="32"/>
        <v>0.71272144204532062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18.145919903507739</v>
      </c>
      <c r="H6" s="67">
        <f t="shared" si="1"/>
        <v>297.42750651156223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3.85</v>
      </c>
      <c r="N6" s="13">
        <f>IF('Données projet'!$A$36&gt;35,N5+M6-V5,IF(A6&lt;'Données projet'!$A$36,$K$205^A6,IF(A6='Données projet'!$A$36,'Données projet'!$B$36,N5+M6-V5)))</f>
        <v>2.6071168342033646</v>
      </c>
      <c r="O6" s="13">
        <f>N6*VLOOKUP('Données projet'!$B$9,Paramètres!$A$1:$I$89,3,0)*VLOOKUP('Données projet'!$B$9,Paramètres!$A$1:$I$89,5,0)</f>
        <v>1.5590558668536121</v>
      </c>
      <c r="P6" s="13">
        <f t="shared" si="33"/>
        <v>0.68228314619764829</v>
      </c>
      <c r="Q6" s="20">
        <f t="shared" si="2"/>
        <v>3.9036654477309445</v>
      </c>
      <c r="R6" s="59">
        <f t="shared" si="0"/>
        <v>297.23699878106424</v>
      </c>
      <c r="S6" s="59">
        <f ca="1">AVERAGE(OFFSET($R$3,0,0,'Données projet'!$E$9+1,1))-AVERAGE(OFFSET($H$3,0,0,'Données projet'!$E$9+1,1))</f>
        <v>252.28378247570731</v>
      </c>
      <c r="T6" s="59">
        <f t="shared" si="34"/>
        <v>263.50418595307343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3.65</v>
      </c>
      <c r="AI6" s="13">
        <f>IF('Données projet'!$A$62&gt;35,AI5+AH6-AQ5,IF(A6&lt;'Données projet'!$A$62,$AF$205^A6,IF(A6='Données projet'!$A$62,'Données projet'!$B$62,AI5+AH6-AQ5)))</f>
        <v>1.9032613528593461</v>
      </c>
      <c r="AJ6" s="13">
        <f>AI6*VLOOKUP('Données projet'!$B$10,Paramètres!$A$1:$I$89,3,0)*VLOOKUP('Données projet'!$B$10,Paramètres!$A$1:$I$89,5,0)</f>
        <v>1.6033073636487132</v>
      </c>
      <c r="AK6" s="13">
        <f t="shared" si="35"/>
        <v>0.69936661672428513</v>
      </c>
      <c r="AL6" s="20">
        <f t="shared" si="4"/>
        <v>4.0104905158163051</v>
      </c>
      <c r="AM6" s="59">
        <f t="shared" si="5"/>
        <v>297.3438238491496</v>
      </c>
      <c r="AN6" s="59">
        <f ca="1">AVERAGE(OFFSET($AM$3,0,0,'Données projet'!$E$10+1,1))-AVERAGE(OFFSET($H$3,0,0,'Données projet'!$E$10+1,1))</f>
        <v>382.67703499770795</v>
      </c>
      <c r="AO6" s="59">
        <f t="shared" si="36"/>
        <v>237.98926636458219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25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2.1840000000000002</v>
      </c>
      <c r="D7" s="11">
        <f t="shared" si="32"/>
        <v>0.91900038282935004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23.952985411314284</v>
      </c>
      <c r="H7" s="67">
        <f t="shared" si="1"/>
        <v>298.73772566676109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3.85</v>
      </c>
      <c r="N7" s="13">
        <f>IF('Données projet'!$A$36&gt;35,N6+M7-V6,IF(A7&lt;'Données projet'!$A$36,$K$205^A7,IF(A7='Données projet'!$A$36,'Données projet'!$B$36,N6+M7-V6)))</f>
        <v>3.5882331863127939</v>
      </c>
      <c r="O7" s="13">
        <f>N7*VLOOKUP('Données projet'!$B$9,Paramètres!$A$1:$I$89,3,0)*VLOOKUP('Données projet'!$B$9,Paramètres!$A$1:$I$89,5,0)</f>
        <v>2.1457634454150507</v>
      </c>
      <c r="P7" s="13">
        <f t="shared" si="33"/>
        <v>0.90476914358207983</v>
      </c>
      <c r="Q7" s="20">
        <f t="shared" si="2"/>
        <v>5.3130109258366689</v>
      </c>
      <c r="R7" s="59">
        <f t="shared" si="0"/>
        <v>298.64634425917001</v>
      </c>
      <c r="S7" s="59">
        <f ca="1">AVERAGE(OFFSET($R$3,0,0,'Données projet'!$E$9+1,1))-AVERAGE(OFFSET($H$3,0,0,'Données projet'!$E$9+1,1))</f>
        <v>252.28378247570731</v>
      </c>
      <c r="T7" s="59">
        <f t="shared" si="34"/>
        <v>263.50418595307343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3.65</v>
      </c>
      <c r="AI7" s="13">
        <f>IF('Données projet'!$A$62&gt;35,AI6+AH7-AQ6,IF(A7&lt;'Données projet'!$A$62,$AF$205^A7,IF(A7='Données projet'!$A$62,'Données projet'!$B$62,AI6+AH7-AQ6)))</f>
        <v>2.3586558182407358</v>
      </c>
      <c r="AJ7" s="13">
        <f>AI7*VLOOKUP('Données projet'!$B$10,Paramètres!$A$1:$I$89,3,0)*VLOOKUP('Données projet'!$B$10,Paramètres!$A$1:$I$89,5,0)</f>
        <v>1.9869316612859962</v>
      </c>
      <c r="AK7" s="13">
        <f t="shared" si="35"/>
        <v>0.84533042826968274</v>
      </c>
      <c r="AL7" s="20">
        <f t="shared" si="4"/>
        <v>4.9328564726428068</v>
      </c>
      <c r="AM7" s="59">
        <f t="shared" si="5"/>
        <v>298.26618980597613</v>
      </c>
      <c r="AN7" s="59">
        <f ca="1">AVERAGE(OFFSET($AM$3,0,0,'Données projet'!$E$10+1,1))-AVERAGE(OFFSET($H$3,0,0,'Données projet'!$E$10+1,1))</f>
        <v>382.67703499770795</v>
      </c>
      <c r="AO7" s="59">
        <f t="shared" si="36"/>
        <v>237.98926636458219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25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2.7300000000000004</v>
      </c>
      <c r="D8" s="11">
        <f t="shared" si="32"/>
        <v>1.1192971032254277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29.713872375775235</v>
      </c>
      <c r="H8" s="67">
        <f t="shared" si="1"/>
        <v>300.03752578811759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3.85</v>
      </c>
      <c r="N8" s="13">
        <f>IF('Données projet'!$A$36&gt;35,N7+M8-V7,IF(A8&lt;'Données projet'!$A$36,$K$205^A8,IF(A8='Données projet'!$A$36,'Données projet'!$B$36,N7+M8-V7)))</f>
        <v>4.938565556572267</v>
      </c>
      <c r="O8" s="13">
        <f>N8*VLOOKUP('Données projet'!$B$9,Paramètres!$A$1:$I$89,3,0)*VLOOKUP('Données projet'!$B$9,Paramètres!$A$1:$I$89,5,0)</f>
        <v>2.9532622028302162</v>
      </c>
      <c r="P8" s="13">
        <f t="shared" si="33"/>
        <v>1.1998056931939969</v>
      </c>
      <c r="Q8" s="20">
        <f t="shared" si="2"/>
        <v>7.2332599189088382</v>
      </c>
      <c r="R8" s="59">
        <f t="shared" si="0"/>
        <v>300.56659325224217</v>
      </c>
      <c r="S8" s="59">
        <f ca="1">AVERAGE(OFFSET($R$3,0,0,'Données projet'!$E$9+1,1))-AVERAGE(OFFSET($H$3,0,0,'Données projet'!$E$9+1,1))</f>
        <v>252.28378247570731</v>
      </c>
      <c r="T8" s="59">
        <f t="shared" si="34"/>
        <v>263.50418595307343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3.65</v>
      </c>
      <c r="AI8" s="13">
        <f>IF('Données projet'!$A$62&gt;35,AI7+AH8-AQ7,IF(A8&lt;'Données projet'!$A$62,$AF$205^A8,IF(A8='Données projet'!$A$62,'Données projet'!$B$62,AI7+AH8-AQ7)))</f>
        <v>2.9230127856917649</v>
      </c>
      <c r="AJ8" s="13">
        <f>AI8*VLOOKUP('Données projet'!$B$10,Paramètres!$A$1:$I$89,3,0)*VLOOKUP('Données projet'!$B$10,Paramètres!$A$1:$I$89,5,0)</f>
        <v>2.462345970666743</v>
      </c>
      <c r="AK8" s="13">
        <f t="shared" si="35"/>
        <v>1.021758139251189</v>
      </c>
      <c r="AL8" s="20">
        <f t="shared" si="4"/>
        <v>6.068147991440398</v>
      </c>
      <c r="AM8" s="59">
        <f t="shared" si="5"/>
        <v>299.40148132477373</v>
      </c>
      <c r="AN8" s="59">
        <f ca="1">AVERAGE(OFFSET($AM$3,0,0,'Données projet'!$E$10+1,1))-AVERAGE(OFFSET($H$3,0,0,'Données projet'!$E$10+1,1))</f>
        <v>382.67703499770795</v>
      </c>
      <c r="AO8" s="59">
        <f t="shared" si="36"/>
        <v>237.98926636458219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25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3.2760000000000007</v>
      </c>
      <c r="D9" s="11">
        <f t="shared" si="32"/>
        <v>1.3149520873221716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35.438928393364137</v>
      </c>
      <c r="H9" s="67">
        <f t="shared" si="1"/>
        <v>301.3292415520861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3.85</v>
      </c>
      <c r="N9" s="13">
        <f>IF('Données projet'!$A$36&gt;35,N8+M9-V8,IF(A9&lt;'Données projet'!$A$36,$K$205^A9,IF(A9='Données projet'!$A$36,'Données projet'!$B$36,N8+M9-V8)))</f>
        <v>6.7970581871865736</v>
      </c>
      <c r="O9" s="13">
        <f>N9*VLOOKUP('Données projet'!$B$9,Paramètres!$A$1:$I$89,3,0)*VLOOKUP('Données projet'!$B$9,Paramètres!$A$1:$I$89,5,0)</f>
        <v>4.0646407959375717</v>
      </c>
      <c r="P9" s="13">
        <f t="shared" si="33"/>
        <v>1.5910508350466677</v>
      </c>
      <c r="Q9" s="20">
        <f t="shared" si="2"/>
        <v>9.8503295906308832</v>
      </c>
      <c r="R9" s="59">
        <f t="shared" si="0"/>
        <v>303.18366292396422</v>
      </c>
      <c r="S9" s="59">
        <f ca="1">AVERAGE(OFFSET($R$3,0,0,'Données projet'!$E$9+1,1))-AVERAGE(OFFSET($H$3,0,0,'Données projet'!$E$9+1,1))</f>
        <v>252.28378247570731</v>
      </c>
      <c r="T9" s="59">
        <f t="shared" si="34"/>
        <v>263.50418595307343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3.65</v>
      </c>
      <c r="AI9" s="13">
        <f>IF('Données projet'!$A$62&gt;35,AI8+AH9-AQ8,IF(A9&lt;'Données projet'!$A$62,$AF$205^A9,IF(A9='Données projet'!$A$62,'Données projet'!$B$62,AI8+AH9-AQ8)))</f>
        <v>3.6224037772879885</v>
      </c>
      <c r="AJ9" s="13">
        <f>AI9*VLOOKUP('Données projet'!$B$10,Paramètres!$A$1:$I$89,3,0)*VLOOKUP('Données projet'!$B$10,Paramètres!$A$1:$I$89,5,0)</f>
        <v>3.0515129419874016</v>
      </c>
      <c r="AK9" s="13">
        <f t="shared" si="35"/>
        <v>1.2350078267772846</v>
      </c>
      <c r="AL9" s="20">
        <f t="shared" si="4"/>
        <v>7.4656903389318279</v>
      </c>
      <c r="AM9" s="59">
        <f t="shared" si="5"/>
        <v>300.79902367226515</v>
      </c>
      <c r="AN9" s="59">
        <f ca="1">AVERAGE(OFFSET($AM$3,0,0,'Données projet'!$E$10+1,1))-AVERAGE(OFFSET($H$3,0,0,'Données projet'!$E$10+1,1))</f>
        <v>382.67703499770795</v>
      </c>
      <c r="AO9" s="59">
        <f t="shared" si="36"/>
        <v>237.98926636458219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25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3.822000000000001</v>
      </c>
      <c r="D10" s="11">
        <f t="shared" si="32"/>
        <v>1.5068294933809407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41.134824159431837</v>
      </c>
      <c r="H10" s="67">
        <f t="shared" si="1"/>
        <v>302.6143780343051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3.85</v>
      </c>
      <c r="N10" s="13">
        <f>IF('Données projet'!$A$36&gt;35,N9+M10-V9,IF(A10&lt;'Données projet'!$A$36,$K$205^A10,IF(A10='Données projet'!$A$36,'Données projet'!$B$36,N9+M10-V9)))</f>
        <v>9.3549431450832632</v>
      </c>
      <c r="O10" s="13">
        <f>N10*VLOOKUP('Données projet'!$B$9,Paramètres!$A$1:$I$89,3,0)*VLOOKUP('Données projet'!$B$9,Paramètres!$A$1:$I$89,5,0)</f>
        <v>5.5942560007597919</v>
      </c>
      <c r="P10" s="13">
        <f t="shared" si="33"/>
        <v>2.1098772693466379</v>
      </c>
      <c r="Q10" s="20">
        <f t="shared" si="2"/>
        <v>13.418032112102033</v>
      </c>
      <c r="R10" s="59">
        <f t="shared" si="0"/>
        <v>306.75136544543534</v>
      </c>
      <c r="S10" s="59">
        <f ca="1">AVERAGE(OFFSET($R$3,0,0,'Données projet'!$E$9+1,1))-AVERAGE(OFFSET($H$3,0,0,'Données projet'!$E$9+1,1))</f>
        <v>252.28378247570731</v>
      </c>
      <c r="T10" s="59">
        <f t="shared" si="34"/>
        <v>263.50418595307343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3.65</v>
      </c>
      <c r="AI10" s="13">
        <f>IF('Données projet'!$A$62&gt;35,AI9+AH10-AQ9,IF(A10&lt;'Données projet'!$A$62,$AF$205^A10,IF(A10='Données projet'!$A$62,'Données projet'!$B$62,AI9+AH10-AQ9)))</f>
        <v>4.4891384635544309</v>
      </c>
      <c r="AJ10" s="13">
        <f>AI10*VLOOKUP('Données projet'!$B$10,Paramètres!$A$1:$I$89,3,0)*VLOOKUP('Données projet'!$B$10,Paramètres!$A$1:$I$89,5,0)</f>
        <v>3.7816502416982529</v>
      </c>
      <c r="AK10" s="13">
        <f t="shared" si="35"/>
        <v>1.492764553183741</v>
      </c>
      <c r="AL10" s="20">
        <f t="shared" si="4"/>
        <v>9.1862724344194735</v>
      </c>
      <c r="AM10" s="59">
        <f t="shared" si="5"/>
        <v>302.51960576775281</v>
      </c>
      <c r="AN10" s="59">
        <f ca="1">AVERAGE(OFFSET($AM$3,0,0,'Données projet'!$E$10+1,1))-AVERAGE(OFFSET($H$3,0,0,'Données projet'!$E$10+1,1))</f>
        <v>382.67703499770795</v>
      </c>
      <c r="AO10" s="59">
        <f t="shared" si="36"/>
        <v>237.98926636458219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25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4.3680000000000012</v>
      </c>
      <c r="D11" s="11">
        <f t="shared" si="32"/>
        <v>1.6955312417477209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46.806206076649083</v>
      </c>
      <c r="H11" s="67">
        <f t="shared" si="1"/>
        <v>303.89398357937728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3.85</v>
      </c>
      <c r="N11" s="13">
        <f>IF('Données projet'!$A$36&gt;35,N10+M11-V10,IF(A11&lt;'Données projet'!$A$36,$K$205^A11,IF(A11='Données projet'!$A$36,'Données projet'!$B$36,N10+M11-V10)))</f>
        <v>12.875417399356465</v>
      </c>
      <c r="O11" s="13">
        <f>N11*VLOOKUP('Données projet'!$B$9,Paramètres!$A$1:$I$89,3,0)*VLOOKUP('Données projet'!$B$9,Paramètres!$A$1:$I$89,5,0)</f>
        <v>7.6994996048151672</v>
      </c>
      <c r="P11" s="13">
        <f t="shared" si="33"/>
        <v>2.7978880332727099</v>
      </c>
      <c r="Q11" s="20">
        <f t="shared" si="2"/>
        <v>18.282950136336385</v>
      </c>
      <c r="R11" s="59">
        <f t="shared" si="0"/>
        <v>311.61628346966972</v>
      </c>
      <c r="S11" s="59">
        <f ca="1">AVERAGE(OFFSET($R$3,0,0,'Données projet'!$E$9+1,1))-AVERAGE(OFFSET($H$3,0,0,'Données projet'!$E$9+1,1))</f>
        <v>252.28378247570731</v>
      </c>
      <c r="T11" s="59">
        <f t="shared" si="34"/>
        <v>263.50418595307343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3.65</v>
      </c>
      <c r="AI11" s="13">
        <f>IF('Données projet'!$A$62&gt;35,AI10+AH11-AQ10,IF(A11&lt;'Données projet'!$A$62,$AF$205^A11,IF(A11='Données projet'!$A$62,'Données projet'!$B$62,AI10+AH11-AQ10)))</f>
        <v>5.563257268920875</v>
      </c>
      <c r="AJ11" s="13">
        <f>AI11*VLOOKUP('Données projet'!$B$10,Paramètres!$A$1:$I$89,3,0)*VLOOKUP('Données projet'!$B$10,Paramètres!$A$1:$I$89,5,0)</f>
        <v>4.6864879233389463</v>
      </c>
      <c r="AK11" s="13">
        <f t="shared" si="35"/>
        <v>1.8043173192324258</v>
      </c>
      <c r="AL11" s="20">
        <f t="shared" si="4"/>
        <v>11.304819130811806</v>
      </c>
      <c r="AM11" s="59">
        <f t="shared" si="5"/>
        <v>304.63815246414509</v>
      </c>
      <c r="AN11" s="59">
        <f ca="1">AVERAGE(OFFSET($AM$3,0,0,'Données projet'!$E$10+1,1))-AVERAGE(OFFSET($H$3,0,0,'Données projet'!$E$10+1,1))</f>
        <v>382.67703499770795</v>
      </c>
      <c r="AO11" s="59">
        <f t="shared" si="36"/>
        <v>237.98926636458219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25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4.9140000000000015</v>
      </c>
      <c r="D12" s="11">
        <f t="shared" si="32"/>
        <v>1.8814997515338503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52.456489310085878</v>
      </c>
      <c r="H12" s="67">
        <f t="shared" si="1"/>
        <v>305.16882873392143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3.85</v>
      </c>
      <c r="N12" s="13">
        <f>IF('Données projet'!$A$36&gt;35,N11+M12-V11,IF(A12&lt;'Données projet'!$A$36,$K$205^A12,IF(A12='Données projet'!$A$36,'Données projet'!$B$36,N11+M12-V11)))</f>
        <v>17.720724822873922</v>
      </c>
      <c r="O12" s="13">
        <f>N12*VLOOKUP('Données projet'!$B$9,Paramètres!$A$1:$I$89,3,0)*VLOOKUP('Données projet'!$B$9,Paramètres!$A$1:$I$89,5,0)</f>
        <v>10.596993444078608</v>
      </c>
      <c r="P12" s="13">
        <f t="shared" si="33"/>
        <v>3.7102525158512041</v>
      </c>
      <c r="Q12" s="20">
        <f t="shared" si="2"/>
        <v>24.918453380211091</v>
      </c>
      <c r="R12" s="59">
        <f t="shared" si="0"/>
        <v>318.25178671354439</v>
      </c>
      <c r="S12" s="59">
        <f ca="1">AVERAGE(OFFSET($R$3,0,0,'Données projet'!$E$9+1,1))-AVERAGE(OFFSET($H$3,0,0,'Données projet'!$E$9+1,1))</f>
        <v>252.28378247570731</v>
      </c>
      <c r="T12" s="59">
        <f t="shared" si="34"/>
        <v>263.50418595307343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3.65</v>
      </c>
      <c r="AI12" s="13">
        <f>IF('Données projet'!$A$62&gt;35,AI11+AH12-AQ11,IF(A12&lt;'Données projet'!$A$62,$AF$205^A12,IF(A12='Données projet'!$A$62,'Données projet'!$B$62,AI11+AH12-AQ11)))</f>
        <v>6.8943811137639424</v>
      </c>
      <c r="AJ12" s="13">
        <f>AI12*VLOOKUP('Données projet'!$B$10,Paramètres!$A$1:$I$89,3,0)*VLOOKUP('Données projet'!$B$10,Paramètres!$A$1:$I$89,5,0)</f>
        <v>5.8078266502347455</v>
      </c>
      <c r="AK12" s="13">
        <f t="shared" si="35"/>
        <v>2.1808938198181922</v>
      </c>
      <c r="AL12" s="20">
        <f t="shared" si="4"/>
        <v>13.913688152008866</v>
      </c>
      <c r="AM12" s="59">
        <f t="shared" si="5"/>
        <v>307.2470214853422</v>
      </c>
      <c r="AN12" s="59">
        <f ca="1">AVERAGE(OFFSET($AM$3,0,0,'Données projet'!$E$10+1,1))-AVERAGE(OFFSET($H$3,0,0,'Données projet'!$E$10+1,1))</f>
        <v>382.67703499770795</v>
      </c>
      <c r="AO12" s="59">
        <f t="shared" si="36"/>
        <v>237.98926636458219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25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5.4600000000000017</v>
      </c>
      <c r="D13" s="11">
        <f t="shared" si="32"/>
        <v>2.0650733588092973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58.088285576773536</v>
      </c>
      <c r="H13" s="67">
        <f t="shared" si="1"/>
        <v>306.43950276659285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3.85</v>
      </c>
      <c r="N13" s="13">
        <f>IF('Données projet'!$A$36&gt;35,N12+M13-V12,IF(A13&lt;'Données projet'!$A$36,$K$205^A13,IF(A13='Données projet'!$A$36,'Données projet'!$B$36,N12+M13-V12)))</f>
        <v>24.389429756561942</v>
      </c>
      <c r="O13" s="13">
        <f>N13*VLOOKUP('Données projet'!$B$9,Paramètres!$A$1:$I$89,3,0)*VLOOKUP('Données projet'!$B$9,Paramètres!$A$1:$I$89,5,0)</f>
        <v>14.584878994424042</v>
      </c>
      <c r="P13" s="13">
        <f t="shared" si="33"/>
        <v>4.9201303153214564</v>
      </c>
      <c r="Q13" s="20">
        <f t="shared" si="2"/>
        <v>33.971224547806742</v>
      </c>
      <c r="R13" s="59">
        <f t="shared" si="0"/>
        <v>327.30455788114006</v>
      </c>
      <c r="S13" s="59">
        <f ca="1">AVERAGE(OFFSET($R$3,0,0,'Données projet'!$E$9+1,1))-AVERAGE(OFFSET($H$3,0,0,'Données projet'!$E$9+1,1))</f>
        <v>252.28378247570731</v>
      </c>
      <c r="T13" s="59">
        <f t="shared" si="34"/>
        <v>263.50418595307343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3.65</v>
      </c>
      <c r="AI13" s="13">
        <f>IF('Données projet'!$A$62&gt;35,AI12+AH13-AQ12,IF(A13&lt;'Données projet'!$A$62,$AF$205^A13,IF(A13='Données projet'!$A$62,'Données projet'!$B$62,AI12+AH13-AQ12)))</f>
        <v>8.5440037453175322</v>
      </c>
      <c r="AJ13" s="13">
        <f>AI13*VLOOKUP('Données projet'!$B$10,Paramètres!$A$1:$I$89,3,0)*VLOOKUP('Données projet'!$B$10,Paramètres!$A$1:$I$89,5,0)</f>
        <v>7.1974687550554899</v>
      </c>
      <c r="AK13" s="13">
        <f t="shared" si="35"/>
        <v>2.6360650660630816</v>
      </c>
      <c r="AL13" s="20">
        <f t="shared" si="4"/>
        <v>17.126738071781514</v>
      </c>
      <c r="AM13" s="59">
        <f t="shared" si="5"/>
        <v>310.46007140511483</v>
      </c>
      <c r="AN13" s="59">
        <f ca="1">AVERAGE(OFFSET($AM$3,0,0,'Données projet'!$E$10+1,1))-AVERAGE(OFFSET($H$3,0,0,'Données projet'!$E$10+1,1))</f>
        <v>382.67703499770795</v>
      </c>
      <c r="AO13" s="59">
        <f t="shared" si="36"/>
        <v>237.98926636458219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25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6.006000000000002</v>
      </c>
      <c r="D14" s="11">
        <f t="shared" si="32"/>
        <v>2.2465188167092136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63.703654023720254</v>
      </c>
      <c r="H14" s="67">
        <f t="shared" si="1"/>
        <v>307.70647027243518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3.85</v>
      </c>
      <c r="N14" s="13">
        <f>IF('Données projet'!$A$36&gt;35,N13+M14-V13,IF(A14&lt;'Données projet'!$A$36,$K$205^A14,IF(A14='Données projet'!$A$36,'Données projet'!$B$36,N13+M14-V13)))</f>
        <v>33.567717449257145</v>
      </c>
      <c r="O14" s="13">
        <f>N14*VLOOKUP('Données projet'!$B$9,Paramètres!$A$1:$I$89,3,0)*VLOOKUP('Données projet'!$B$9,Paramètres!$A$1:$I$89,5,0)</f>
        <v>20.073495034655775</v>
      </c>
      <c r="P14" s="13">
        <f t="shared" si="33"/>
        <v>6.5245376740055958</v>
      </c>
      <c r="Q14" s="20">
        <f t="shared" si="2"/>
        <v>46.324906967585214</v>
      </c>
      <c r="R14" s="59">
        <f t="shared" si="0"/>
        <v>339.65824030091852</v>
      </c>
      <c r="S14" s="59">
        <f ca="1">AVERAGE(OFFSET($R$3,0,0,'Données projet'!$E$9+1,1))-AVERAGE(OFFSET($H$3,0,0,'Données projet'!$E$9+1,1))</f>
        <v>252.28378247570731</v>
      </c>
      <c r="T14" s="59">
        <f t="shared" si="34"/>
        <v>263.50418595307343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3.65</v>
      </c>
      <c r="AI14" s="13">
        <f>IF('Données projet'!$A$62&gt;35,AI13+AH14-AQ13,IF(A14&lt;'Données projet'!$A$62,$AF$205^A14,IF(A14='Données projet'!$A$62,'Données projet'!$B$62,AI13+AH14-AQ13)))</f>
        <v>10.588332555950936</v>
      </c>
      <c r="AJ14" s="13">
        <f>AI14*VLOOKUP('Données projet'!$B$10,Paramètres!$A$1:$I$89,3,0)*VLOOKUP('Données projet'!$B$10,Paramètres!$A$1:$I$89,5,0)</f>
        <v>8.9196113451330703</v>
      </c>
      <c r="AK14" s="13">
        <f t="shared" si="35"/>
        <v>3.186234455512118</v>
      </c>
      <c r="AL14" s="20">
        <f t="shared" si="4"/>
        <v>21.084348102790369</v>
      </c>
      <c r="AM14" s="59">
        <f t="shared" si="5"/>
        <v>314.4176814361237</v>
      </c>
      <c r="AN14" s="59">
        <f ca="1">AVERAGE(OFFSET($AM$3,0,0,'Données projet'!$E$10+1,1))-AVERAGE(OFFSET($H$3,0,0,'Données projet'!$E$10+1,1))</f>
        <v>382.67703499770795</v>
      </c>
      <c r="AO14" s="59">
        <f t="shared" si="36"/>
        <v>237.98926636458219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25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6.5520000000000023</v>
      </c>
      <c r="D15" s="11">
        <f t="shared" si="32"/>
        <v>2.4260515959655744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69.304257933769364</v>
      </c>
      <c r="H15" s="67">
        <f t="shared" si="1"/>
        <v>308.97010652964002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>
        <f>VLOOKUP(A15,'Données projet'!$A$35:$I$55,2,0)</f>
        <v>46.2</v>
      </c>
      <c r="L15" s="12">
        <f>VLOOKUP(A15,'Données projet'!$A$35:$I$55,9,0)</f>
        <v>3.85</v>
      </c>
      <c r="M15" s="12">
        <f t="array" ref="M15">INDEX(L:L,MIN(IF(ISNUMBER(L15:L211),ROW(L15:L211),"")))</f>
        <v>3.85</v>
      </c>
      <c r="N15" s="13">
        <f>IF('Données projet'!$A$36&gt;35,N14+M15-V14,IF(A15&lt;'Données projet'!$A$36,$K$205^A15,IF(A15='Données projet'!$A$36,'Données projet'!$B$36,N14+M15-V14)))</f>
        <v>46.2</v>
      </c>
      <c r="O15" s="13">
        <f>N15*VLOOKUP('Données projet'!$B$9,Paramètres!$A$1:$I$89,3,0)*VLOOKUP('Données projet'!$B$9,Paramètres!$A$1:$I$89,5,0)</f>
        <v>27.627600000000005</v>
      </c>
      <c r="P15" s="13">
        <f t="shared" si="33"/>
        <v>8.6521269013861506</v>
      </c>
      <c r="Q15" s="20">
        <f t="shared" si="2"/>
        <v>63.187191019914216</v>
      </c>
      <c r="R15" s="59">
        <f t="shared" si="0"/>
        <v>356.52052435324754</v>
      </c>
      <c r="S15" s="59">
        <f ca="1">AVERAGE(OFFSET($R$3,0,0,'Données projet'!$E$9+1,1))-AVERAGE(OFFSET($H$3,0,0,'Données projet'!$E$9+1,1))</f>
        <v>252.28378247570731</v>
      </c>
      <c r="T15" s="59">
        <f t="shared" si="34"/>
        <v>263.50418595307343</v>
      </c>
      <c r="U15" s="15">
        <f>IF(ISNA(VLOOKUP(A15,'Données projet'!$A$35:$I$55,3,0)),0,VLOOKUP(A15,'Données projet'!$A$35:$I$55,3,0))</f>
        <v>1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3.65</v>
      </c>
      <c r="AI15" s="13">
        <f>IF('Données projet'!$A$62&gt;35,AI14+AH15-AQ14,IF(A15&lt;'Données projet'!$A$62,$AF$205^A15,IF(A15='Données projet'!$A$62,'Données projet'!$B$62,AI14+AH15-AQ14)))</f>
        <v>13.121809125710287</v>
      </c>
      <c r="AJ15" s="13">
        <f>AI15*VLOOKUP('Données projet'!$B$10,Paramètres!$A$1:$I$89,3,0)*VLOOKUP('Données projet'!$B$10,Paramètres!$A$1:$I$89,5,0)</f>
        <v>11.053812007498347</v>
      </c>
      <c r="AK15" s="13">
        <f t="shared" si="35"/>
        <v>3.8512289154738402</v>
      </c>
      <c r="AL15" s="20">
        <f t="shared" si="4"/>
        <v>25.959612940843225</v>
      </c>
      <c r="AM15" s="59">
        <f t="shared" si="5"/>
        <v>319.29294627417653</v>
      </c>
      <c r="AN15" s="59">
        <f ca="1">AVERAGE(OFFSET($AM$3,0,0,'Données projet'!$E$10+1,1))-AVERAGE(OFFSET($H$3,0,0,'Données projet'!$E$10+1,1))</f>
        <v>382.67703499770795</v>
      </c>
      <c r="AO15" s="59">
        <f t="shared" si="36"/>
        <v>237.98926636458219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25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7.0980000000000025</v>
      </c>
      <c r="D16" s="11">
        <f t="shared" si="32"/>
        <v>2.6038492076799815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74.891467568056029</v>
      </c>
      <c r="H16" s="67">
        <f t="shared" si="1"/>
        <v>310.23072070337594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15.324999999999999</v>
      </c>
      <c r="N16" s="13">
        <f>IF('Données projet'!$A$36&gt;35,N15+M16-V15,IF(A16&lt;'Données projet'!$A$36,$K$205^A16,IF(A16='Données projet'!$A$36,'Données projet'!$B$36,N15+M16-V15)))</f>
        <v>61.525000000000006</v>
      </c>
      <c r="O16" s="13">
        <f>N16*VLOOKUP('Données projet'!$B$9,Paramètres!$A$1:$I$89,3,0)*VLOOKUP('Données projet'!$B$9,Paramètres!$A$1:$I$89,5,0)</f>
        <v>36.791950000000007</v>
      </c>
      <c r="P16" s="13">
        <f t="shared" si="33"/>
        <v>11.144260225190576</v>
      </c>
      <c r="Q16" s="20">
        <f t="shared" si="2"/>
        <v>83.488899475540265</v>
      </c>
      <c r="R16" s="59">
        <f t="shared" si="0"/>
        <v>376.82223280887359</v>
      </c>
      <c r="S16" s="59">
        <f ca="1">AVERAGE(OFFSET($R$3,0,0,'Données projet'!$E$9+1,1))-AVERAGE(OFFSET($H$3,0,0,'Données projet'!$E$9+1,1))</f>
        <v>252.28378247570731</v>
      </c>
      <c r="T16" s="59">
        <f t="shared" si="34"/>
        <v>263.50418595307343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3.65</v>
      </c>
      <c r="AI16" s="13">
        <f>IF('Données projet'!$A$62&gt;35,AI15+AH16-AQ15,IF(A16&lt;'Données projet'!$A$62,$AF$205^A16,IF(A16='Données projet'!$A$62,'Données projet'!$B$62,AI15+AH16-AQ15)))</f>
        <v>16.261472127148366</v>
      </c>
      <c r="AJ16" s="13">
        <f>AI16*VLOOKUP('Données projet'!$B$10,Paramètres!$A$1:$I$89,3,0)*VLOOKUP('Données projet'!$B$10,Paramètres!$A$1:$I$89,5,0)</f>
        <v>13.698664119909786</v>
      </c>
      <c r="AK16" s="13">
        <f t="shared" si="35"/>
        <v>4.6550134230463893</v>
      </c>
      <c r="AL16" s="20">
        <f t="shared" si="4"/>
        <v>31.965988387315338</v>
      </c>
      <c r="AM16" s="59">
        <f t="shared" si="5"/>
        <v>325.29932172064866</v>
      </c>
      <c r="AN16" s="59">
        <f ca="1">AVERAGE(OFFSET($AM$3,0,0,'Données projet'!$E$10+1,1))-AVERAGE(OFFSET($H$3,0,0,'Données projet'!$E$10+1,1))</f>
        <v>382.67703499770795</v>
      </c>
      <c r="AO16" s="59">
        <f t="shared" si="36"/>
        <v>237.98926636458219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25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7.6440000000000028</v>
      </c>
      <c r="D17" s="11">
        <f t="shared" si="32"/>
        <v>2.7800603022041317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80.466430402979299</v>
      </c>
      <c r="H17" s="67">
        <f t="shared" si="1"/>
        <v>311.4885716930055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15.324999999999999</v>
      </c>
      <c r="N17" s="13">
        <f>IF('Données projet'!$A$36&gt;35,N16+M17-V16,IF(A17&lt;'Données projet'!$A$36,$K$205^A17,IF(A17='Données projet'!$A$36,'Données projet'!$B$36,N16+M17-V16)))</f>
        <v>76.850000000000009</v>
      </c>
      <c r="O17" s="13">
        <f>N17*VLOOKUP('Données projet'!$B$9,Paramètres!$A$1:$I$89,3,0)*VLOOKUP('Données projet'!$B$9,Paramètres!$A$1:$I$89,5,0)</f>
        <v>45.956300000000013</v>
      </c>
      <c r="P17" s="13">
        <f t="shared" si="33"/>
        <v>13.564386507579055</v>
      </c>
      <c r="Q17" s="20">
        <f t="shared" si="2"/>
        <v>103.66519566736689</v>
      </c>
      <c r="R17" s="59">
        <f t="shared" si="0"/>
        <v>396.99852900070022</v>
      </c>
      <c r="S17" s="59">
        <f ca="1">AVERAGE(OFFSET($R$3,0,0,'Données projet'!$E$9+1,1))-AVERAGE(OFFSET($H$3,0,0,'Données projet'!$E$9+1,1))</f>
        <v>252.28378247570731</v>
      </c>
      <c r="T17" s="59">
        <f t="shared" si="34"/>
        <v>263.50418595307343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3.65</v>
      </c>
      <c r="AI17" s="13">
        <f>IF('Données projet'!$A$62&gt;35,AI16+AH17-AQ16,IF(A17&lt;'Données projet'!$A$62,$AF$205^A17,IF(A17='Données projet'!$A$62,'Données projet'!$B$62,AI16+AH17-AQ16)))</f>
        <v>20.152364144963837</v>
      </c>
      <c r="AJ17" s="13">
        <f>AI17*VLOOKUP('Données projet'!$B$10,Paramètres!$A$1:$I$89,3,0)*VLOOKUP('Données projet'!$B$10,Paramètres!$A$1:$I$89,5,0)</f>
        <v>16.976351555717539</v>
      </c>
      <c r="AK17" s="13">
        <f t="shared" si="35"/>
        <v>5.6265546516016363</v>
      </c>
      <c r="AL17" s="20">
        <f t="shared" si="4"/>
        <v>39.366728311080898</v>
      </c>
      <c r="AM17" s="59">
        <f t="shared" si="5"/>
        <v>332.70006164441423</v>
      </c>
      <c r="AN17" s="59">
        <f ca="1">AVERAGE(OFFSET($AM$3,0,0,'Données projet'!$E$10+1,1))-AVERAGE(OFFSET($H$3,0,0,'Données projet'!$E$10+1,1))</f>
        <v>382.67703499770795</v>
      </c>
      <c r="AO17" s="59">
        <f t="shared" si="36"/>
        <v>237.98926636458219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25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8.1900000000000031</v>
      </c>
      <c r="D18" s="11">
        <f t="shared" si="32"/>
        <v>2.9548110908066194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86.030120700963423</v>
      </c>
      <c r="H18" s="67">
        <f t="shared" si="1"/>
        <v>312.74387931648818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15.324999999999999</v>
      </c>
      <c r="N18" s="13">
        <f>IF('Données projet'!$A$36&gt;35,N17+M18-V17,IF(A18&lt;'Données projet'!$A$36,$K$205^A18,IF(A18='Données projet'!$A$36,'Données projet'!$B$36,N17+M18-V17)))</f>
        <v>92.175000000000011</v>
      </c>
      <c r="O18" s="13">
        <f>N18*VLOOKUP('Données projet'!$B$9,Paramètres!$A$1:$I$89,3,0)*VLOOKUP('Données projet'!$B$9,Paramètres!$A$1:$I$89,5,0)</f>
        <v>55.120650000000012</v>
      </c>
      <c r="P18" s="13">
        <f t="shared" si="33"/>
        <v>15.928592691029031</v>
      </c>
      <c r="Q18" s="20">
        <f t="shared" si="2"/>
        <v>123.74409768687555</v>
      </c>
      <c r="R18" s="59">
        <f t="shared" si="0"/>
        <v>417.07743102020885</v>
      </c>
      <c r="S18" s="59">
        <f ca="1">AVERAGE(OFFSET($R$3,0,0,'Données projet'!$E$9+1,1))-AVERAGE(OFFSET($H$3,0,0,'Données projet'!$E$9+1,1))</f>
        <v>252.28378247570731</v>
      </c>
      <c r="T18" s="59">
        <f t="shared" si="34"/>
        <v>263.50418595307343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3.65</v>
      </c>
      <c r="AI18" s="13">
        <f>IF('Données projet'!$A$62&gt;35,AI17+AH18-AQ17,IF(A18&lt;'Données projet'!$A$62,$AF$205^A18,IF(A18='Données projet'!$A$62,'Données projet'!$B$62,AI17+AH18-AQ17)))</f>
        <v>24.974232188561476</v>
      </c>
      <c r="AJ18" s="13">
        <f>AI18*VLOOKUP('Données projet'!$B$10,Paramètres!$A$1:$I$89,3,0)*VLOOKUP('Données projet'!$B$10,Paramètres!$A$1:$I$89,5,0)</f>
        <v>21.03829319564419</v>
      </c>
      <c r="AK18" s="13">
        <f t="shared" si="35"/>
        <v>6.8008648676982615</v>
      </c>
      <c r="AL18" s="20">
        <f t="shared" si="4"/>
        <v>48.486533626988098</v>
      </c>
      <c r="AM18" s="59">
        <f t="shared" si="5"/>
        <v>341.81986696032141</v>
      </c>
      <c r="AN18" s="59">
        <f ca="1">AVERAGE(OFFSET($AM$3,0,0,'Données projet'!$E$10+1,1))-AVERAGE(OFFSET($H$3,0,0,'Données projet'!$E$10+1,1))</f>
        <v>382.67703499770795</v>
      </c>
      <c r="AO18" s="59">
        <f t="shared" si="36"/>
        <v>237.98926636458219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25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8.7360000000000024</v>
      </c>
      <c r="D19" s="11">
        <f t="shared" si="32"/>
        <v>3.1282100045396777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91.583375473639649</v>
      </c>
      <c r="H19" s="67">
        <f t="shared" si="1"/>
        <v>313.99683242457326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>
        <f>VLOOKUP(A19,'Données projet'!$A$35:$I$55,2,0)</f>
        <v>107.5</v>
      </c>
      <c r="L19" s="12">
        <f>VLOOKUP(A19,'Données projet'!$A$35:$I$55,9,0)</f>
        <v>15.324999999999999</v>
      </c>
      <c r="M19" s="12">
        <f t="array" ref="M19">INDEX(L:L,MIN(IF(ISNUMBER(L19:L215),ROW(L19:L215),"")))</f>
        <v>15.324999999999999</v>
      </c>
      <c r="N19" s="13">
        <f>IF('Données projet'!$A$36&gt;35,N18+M19-V18,IF(A19&lt;'Données projet'!$A$36,$K$205^A19,IF(A19='Données projet'!$A$36,'Données projet'!$B$36,N18+M19-V18)))</f>
        <v>107.50000000000001</v>
      </c>
      <c r="O19" s="13">
        <f>N19*VLOOKUP('Données projet'!$B$9,Paramètres!$A$1:$I$89,3,0)*VLOOKUP('Données projet'!$B$9,Paramètres!$A$1:$I$89,5,0)</f>
        <v>64.285000000000011</v>
      </c>
      <c r="P19" s="13">
        <f t="shared" si="33"/>
        <v>18.247263773944024</v>
      </c>
      <c r="Q19" s="20">
        <f t="shared" si="2"/>
        <v>143.74369273961921</v>
      </c>
      <c r="R19" s="59">
        <f t="shared" si="0"/>
        <v>437.07702607295255</v>
      </c>
      <c r="S19" s="59">
        <f ca="1">AVERAGE(OFFSET($R$3,0,0,'Données projet'!$E$9+1,1))-AVERAGE(OFFSET($H$3,0,0,'Données projet'!$E$9+1,1))</f>
        <v>252.28378247570731</v>
      </c>
      <c r="T19" s="59">
        <f t="shared" si="34"/>
        <v>263.50418595307343</v>
      </c>
      <c r="U19" s="15">
        <f>IF(ISNA(VLOOKUP(A19,'Données projet'!$A$35:$I$55,3,0)),0,VLOOKUP(A19,'Données projet'!$A$35:$I$55,3,0))</f>
        <v>2</v>
      </c>
      <c r="V19" s="15">
        <f>IF(ISNA(VLOOKUP(A19,'Données projet'!$A$35:$I$55,4,0)),0,VLOOKUP(A19,'Données projet'!$A$35:$I$55,4,0))</f>
        <v>25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0.5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8.4634364240103324</v>
      </c>
      <c r="AC19" s="22">
        <f t="shared" si="3"/>
        <v>8.4634364240103324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3.65</v>
      </c>
      <c r="AI19" s="13">
        <f>IF('Données projet'!$A$62&gt;35,AI18+AH19-AQ18,IF(A19&lt;'Données projet'!$A$62,$AF$205^A19,IF(A19='Données projet'!$A$62,'Données projet'!$B$62,AI18+AH19-AQ18)))</f>
        <v>30.949831440200953</v>
      </c>
      <c r="AJ19" s="13">
        <f>AI19*VLOOKUP('Données projet'!$B$10,Paramètres!$A$1:$I$89,3,0)*VLOOKUP('Données projet'!$B$10,Paramètres!$A$1:$I$89,5,0)</f>
        <v>26.072138005225284</v>
      </c>
      <c r="AK19" s="13">
        <f t="shared" si="35"/>
        <v>8.2202636982343371</v>
      </c>
      <c r="AL19" s="20">
        <f t="shared" si="4"/>
        <v>59.725932966858835</v>
      </c>
      <c r="AM19" s="59">
        <f t="shared" si="5"/>
        <v>353.05926630019212</v>
      </c>
      <c r="AN19" s="59">
        <f ca="1">AVERAGE(OFFSET($AM$3,0,0,'Données projet'!$E$10+1,1))-AVERAGE(OFFSET($H$3,0,0,'Données projet'!$E$10+1,1))</f>
        <v>382.67703499770795</v>
      </c>
      <c r="AO19" s="59">
        <f t="shared" si="36"/>
        <v>237.98926636458219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25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9.2820000000000018</v>
      </c>
      <c r="D20" s="11">
        <f t="shared" si="32"/>
        <v>3.3003511545061563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97.12692119267912</v>
      </c>
      <c r="H20" s="67">
        <f t="shared" si="1"/>
        <v>315.24759492743152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17.200000000000003</v>
      </c>
      <c r="N20" s="13">
        <f>IF('Données projet'!$A$36&gt;35,N19+M20-V19,IF(A20&lt;'Données projet'!$A$36,$K$205^A20,IF(A20='Données projet'!$A$36,'Données projet'!$B$36,N19+M20-V19)))</f>
        <v>99.700000000000017</v>
      </c>
      <c r="O20" s="13">
        <f>N20*VLOOKUP('Données projet'!$B$9,Paramètres!$A$1:$I$89,3,0)*VLOOKUP('Données projet'!$B$9,Paramètres!$A$1:$I$89,5,0)</f>
        <v>59.62060000000001</v>
      </c>
      <c r="P20" s="13">
        <f t="shared" si="33"/>
        <v>17.072309403636297</v>
      </c>
      <c r="Q20" s="20">
        <f t="shared" si="2"/>
        <v>133.57348387799991</v>
      </c>
      <c r="R20" s="59">
        <f t="shared" si="0"/>
        <v>426.90681721133319</v>
      </c>
      <c r="S20" s="59">
        <f ca="1">AVERAGE(OFFSET($R$3,0,0,'Données projet'!$E$9+1,1))-AVERAGE(OFFSET($H$3,0,0,'Données projet'!$E$9+1,1))</f>
        <v>252.28378247570731</v>
      </c>
      <c r="T20" s="59">
        <f t="shared" si="34"/>
        <v>263.50418595307343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5.9845532875589305</v>
      </c>
      <c r="AC20" s="22">
        <f t="shared" si="3"/>
        <v>5.9845532875589305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3.65</v>
      </c>
      <c r="AI20" s="13">
        <f>IF('Données projet'!$A$62&gt;35,AI19+AH20-AQ19,IF(A20&lt;'Données projet'!$A$62,$AF$205^A20,IF(A20='Données projet'!$A$62,'Données projet'!$B$62,AI19+AH20-AQ19)))</f>
        <v>38.355215845858055</v>
      </c>
      <c r="AJ20" s="13">
        <f>AI20*VLOOKUP('Données projet'!$B$10,Paramètres!$A$1:$I$89,3,0)*VLOOKUP('Données projet'!$B$10,Paramètres!$A$1:$I$89,5,0)</f>
        <v>32.310433828550828</v>
      </c>
      <c r="AK20" s="13">
        <f t="shared" si="35"/>
        <v>9.9359032392271498</v>
      </c>
      <c r="AL20" s="20">
        <f t="shared" si="4"/>
        <v>73.579037059713301</v>
      </c>
      <c r="AM20" s="59">
        <f t="shared" si="5"/>
        <v>366.91237039304661</v>
      </c>
      <c r="AN20" s="59">
        <f ca="1">AVERAGE(OFFSET($AM$3,0,0,'Données projet'!$E$10+1,1))-AVERAGE(OFFSET($H$3,0,0,'Données projet'!$E$10+1,1))</f>
        <v>382.67703499770795</v>
      </c>
      <c r="AO20" s="59">
        <f t="shared" si="36"/>
        <v>237.98926636458219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25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9.8280000000000012</v>
      </c>
      <c r="D21" s="11">
        <f t="shared" si="32"/>
        <v>3.4713169544550633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102.66139403438997</v>
      </c>
      <c r="H21" s="67">
        <f t="shared" si="1"/>
        <v>316.49631036234257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17.200000000000003</v>
      </c>
      <c r="N21" s="13">
        <f>IF('Données projet'!$A$36&gt;35,N20+M21-V20,IF(A21&lt;'Données projet'!$A$36,$K$205^A21,IF(A21='Données projet'!$A$36,'Données projet'!$B$36,N20+M21-V20)))</f>
        <v>116.90000000000002</v>
      </c>
      <c r="O21" s="13">
        <f>N21*VLOOKUP('Données projet'!$B$9,Paramètres!$A$1:$I$89,3,0)*VLOOKUP('Données projet'!$B$9,Paramètres!$A$1:$I$89,5,0)</f>
        <v>69.906200000000013</v>
      </c>
      <c r="P21" s="13">
        <f t="shared" si="33"/>
        <v>19.650161907904558</v>
      </c>
      <c r="Q21" s="20">
        <f t="shared" si="2"/>
        <v>155.9773303229338</v>
      </c>
      <c r="R21" s="59">
        <f t="shared" si="0"/>
        <v>449.31066365626714</v>
      </c>
      <c r="S21" s="59">
        <f ca="1">AVERAGE(OFFSET($R$3,0,0,'Données projet'!$E$9+1,1))-AVERAGE(OFFSET($H$3,0,0,'Données projet'!$E$9+1,1))</f>
        <v>252.28378247570731</v>
      </c>
      <c r="T21" s="59">
        <f t="shared" si="34"/>
        <v>263.50418595307343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0</v>
      </c>
      <c r="AB21" s="21">
        <f>EXP(-LN(2)/2)*AB20+(1-EXP(-LN(2)/2))/(LN(2)/2)*V21*Y21*VLOOKUP('Données projet'!$B$9,Paramètres!$A$1:$I$89,3,0)*0.475*44/12</f>
        <v>4.2317182120051662</v>
      </c>
      <c r="AC21" s="22">
        <f t="shared" si="3"/>
        <v>4.2317182120051662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3.65</v>
      </c>
      <c r="AI21" s="13">
        <f>IF('Données projet'!$A$62&gt;35,AI20+AH21-AQ20,IF(A21&lt;'Données projet'!$A$62,$AF$205^A21,IF(A21='Données projet'!$A$62,'Données projet'!$B$62,AI20+AH21-AQ20)))</f>
        <v>47.532490941824946</v>
      </c>
      <c r="AJ21" s="13">
        <f>AI21*VLOOKUP('Données projet'!$B$10,Paramètres!$A$1:$I$89,3,0)*VLOOKUP('Données projet'!$B$10,Paramètres!$A$1:$I$89,5,0)</f>
        <v>40.041370369393334</v>
      </c>
      <c r="AK21" s="13">
        <f t="shared" si="35"/>
        <v>12.009611467876571</v>
      </c>
      <c r="AL21" s="20">
        <f t="shared" si="4"/>
        <v>90.655460033245092</v>
      </c>
      <c r="AM21" s="59">
        <f t="shared" si="5"/>
        <v>383.98879336657842</v>
      </c>
      <c r="AN21" s="59">
        <f ca="1">AVERAGE(OFFSET($AM$3,0,0,'Données projet'!$E$10+1,1))-AVERAGE(OFFSET($H$3,0,0,'Données projet'!$E$10+1,1))</f>
        <v>382.67703499770795</v>
      </c>
      <c r="AO21" s="59">
        <f t="shared" si="36"/>
        <v>237.98926636458219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25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10.374000000000001</v>
      </c>
      <c r="D22" s="11">
        <f t="shared" si="32"/>
        <v>3.6411801438697724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108.18735549653861</v>
      </c>
      <c r="H22" s="67">
        <f t="shared" si="1"/>
        <v>317.74310541723986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17.200000000000003</v>
      </c>
      <c r="N22" s="13">
        <f>IF('Données projet'!$A$36&gt;35,N21+M22-V21,IF(A22&lt;'Données projet'!$A$36,$K$205^A22,IF(A22='Données projet'!$A$36,'Données projet'!$B$36,N21+M22-V21)))</f>
        <v>134.10000000000002</v>
      </c>
      <c r="O22" s="13">
        <f>N22*VLOOKUP('Données projet'!$B$9,Paramètres!$A$1:$I$89,3,0)*VLOOKUP('Données projet'!$B$9,Paramètres!$A$1:$I$89,5,0)</f>
        <v>80.191800000000015</v>
      </c>
      <c r="P22" s="13">
        <f t="shared" si="33"/>
        <v>22.184073687979513</v>
      </c>
      <c r="Q22" s="20">
        <f t="shared" si="2"/>
        <v>178.30464667323099</v>
      </c>
      <c r="R22" s="59">
        <f t="shared" si="0"/>
        <v>471.63798000656431</v>
      </c>
      <c r="S22" s="59">
        <f ca="1">AVERAGE(OFFSET($R$3,0,0,'Données projet'!$E$9+1,1))-AVERAGE(OFFSET($H$3,0,0,'Données projet'!$E$9+1,1))</f>
        <v>252.28378247570731</v>
      </c>
      <c r="T22" s="59">
        <f t="shared" si="34"/>
        <v>263.50418595307343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0</v>
      </c>
      <c r="AB22" s="21">
        <f>EXP(-LN(2)/2)*AB21+(1-EXP(-LN(2)/2))/(LN(2)/2)*V22*Y22*VLOOKUP('Données projet'!$B$9,Paramètres!$A$1:$I$89,3,0)*0.475*44/12</f>
        <v>2.9922766437794652</v>
      </c>
      <c r="AC22" s="22">
        <f t="shared" si="3"/>
        <v>2.9922766437794652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3.65</v>
      </c>
      <c r="AI22" s="13">
        <f>IF('Données projet'!$A$62&gt;35,AI21+AH22-AQ21,IF(A22&lt;'Données projet'!$A$62,$AF$205^A22,IF(A22='Données projet'!$A$62,'Données projet'!$B$62,AI21+AH22-AQ21)))</f>
        <v>58.90561805764559</v>
      </c>
      <c r="AJ22" s="13">
        <f>AI22*VLOOKUP('Données projet'!$B$10,Paramètres!$A$1:$I$89,3,0)*VLOOKUP('Données projet'!$B$10,Paramètres!$A$1:$I$89,5,0)</f>
        <v>49.622092651760646</v>
      </c>
      <c r="AK22" s="13">
        <f t="shared" si="35"/>
        <v>14.516120390537463</v>
      </c>
      <c r="AL22" s="20">
        <f t="shared" si="4"/>
        <v>111.70738771533587</v>
      </c>
      <c r="AM22" s="59">
        <f t="shared" si="5"/>
        <v>405.04072104866918</v>
      </c>
      <c r="AN22" s="59">
        <f ca="1">AVERAGE(OFFSET($AM$3,0,0,'Données projet'!$E$10+1,1))-AVERAGE(OFFSET($H$3,0,0,'Données projet'!$E$10+1,1))</f>
        <v>382.67703499770795</v>
      </c>
      <c r="AO22" s="59">
        <f t="shared" si="36"/>
        <v>237.98926636458219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25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10.92</v>
      </c>
      <c r="D23" s="11">
        <f t="shared" si="32"/>
        <v>3.810005372992582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113.70530463362695</v>
      </c>
      <c r="H23" s="67">
        <f t="shared" si="1"/>
        <v>318.98809269129538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151.30000000000001</v>
      </c>
      <c r="L23" s="12">
        <f>VLOOKUP(A23,'Données projet'!$A$35:$I$55,9,0)</f>
        <v>17.200000000000003</v>
      </c>
      <c r="M23" s="12">
        <f t="array" ref="M23">INDEX(L:L,MIN(IF(ISNUMBER(L23:L219),ROW(L23:L219),"")))</f>
        <v>17.200000000000003</v>
      </c>
      <c r="N23" s="13">
        <f>IF('Données projet'!$A$36&gt;35,N22+M23-V22,IF(A23&lt;'Données projet'!$A$36,$K$205^A23,IF(A23='Données projet'!$A$36,'Données projet'!$B$36,N22+M23-V22)))</f>
        <v>151.30000000000001</v>
      </c>
      <c r="O23" s="13">
        <f>N23*VLOOKUP('Données projet'!$B$9,Paramètres!$A$1:$I$89,3,0)*VLOOKUP('Données projet'!$B$9,Paramètres!$A$1:$I$89,5,0)</f>
        <v>90.477400000000017</v>
      </c>
      <c r="P23" s="13">
        <f t="shared" si="33"/>
        <v>24.680326903050478</v>
      </c>
      <c r="Q23" s="20">
        <f t="shared" si="2"/>
        <v>200.5663743561463</v>
      </c>
      <c r="R23" s="59">
        <f t="shared" si="0"/>
        <v>493.89970768947961</v>
      </c>
      <c r="S23" s="59">
        <f ca="1">AVERAGE(OFFSET($R$3,0,0,'Données projet'!$E$9+1,1))-AVERAGE(OFFSET($H$3,0,0,'Données projet'!$E$9+1,1))</f>
        <v>252.28378247570731</v>
      </c>
      <c r="T23" s="59">
        <f t="shared" si="34"/>
        <v>263.50418595307343</v>
      </c>
      <c r="U23" s="15">
        <f>IF(ISNA(VLOOKUP(A23,'Données projet'!$A$35:$I$55,3,0)),0,VLOOKUP(A23,'Données projet'!$A$35:$I$55,3,0))</f>
        <v>3</v>
      </c>
      <c r="V23" s="15">
        <f>IF(ISNA(VLOOKUP(A23,'Données projet'!$A$35:$I$55,4,0)),0,VLOOKUP(A23,'Données projet'!$A$35:$I$55,4,0))</f>
        <v>33.700000000000003</v>
      </c>
      <c r="W23" s="16">
        <f>IF(ISNA(VLOOKUP(A23,'Données projet'!$A$35:$I$55,5,0)),0%,VLOOKUP(A23,'Données projet'!$A$35:$I$55,5,0)*VLOOKUP('Données projet'!$B$9,Paramètres!$A$1:$I$89,7,0))</f>
        <v>9.0000000000000011E-2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0.6</v>
      </c>
      <c r="Z23" s="21">
        <f>EXP(-LN(2)/35)*Z22+(1-EXP(-LN(2)/35))/(LN(2)/35)*V23*W23*VLOOKUP('Données projet'!$B$9,Paramètres!$A$1:$I$89,3,0)*0.475*44/12</f>
        <v>2.4060350560221795</v>
      </c>
      <c r="AA23" s="21">
        <f>EXP(-LN(2)/25)*AA22+(1-EXP(-LN(2)/25))/(LN(2)/25)*Calculateur!V23*Calculateur!X23*VLOOKUP('Données projet'!$B$9,Paramètres!$A$1:$I$89,3,0)*0.475*44/12</f>
        <v>0</v>
      </c>
      <c r="AB23" s="21">
        <f>EXP(-LN(2)/2)*AB22+(1-EXP(-LN(2)/2))/(LN(2)/2)*V23*Y23*VLOOKUP('Données projet'!$B$9,Paramètres!$A$1:$I$89,3,0)*0.475*44/12</f>
        <v>15.8063138654817</v>
      </c>
      <c r="AC23" s="22">
        <f t="shared" si="3"/>
        <v>18.212348921503878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>
        <f>VLOOKUP(A23,'Données projet'!$A$61:$I$81,2,0)</f>
        <v>73</v>
      </c>
      <c r="AG23" s="12">
        <f>VLOOKUP(A23,'Données projet'!$A$61:$I$81,9,0)</f>
        <v>3.65</v>
      </c>
      <c r="AH23" s="12">
        <f t="array" ref="AH23">INDEX(AG:AG,MIN(IF(ISNUMBER(AG23:AG219),ROW(AG23:AG219),"")))</f>
        <v>3.65</v>
      </c>
      <c r="AI23" s="13">
        <f>IF('Données projet'!$A$62&gt;35,AI22+AH23-AQ22,IF(A23&lt;'Données projet'!$A$62,$AF$205^A23,IF(A23='Données projet'!$A$62,'Données projet'!$B$62,AI22+AH23-AQ22)))</f>
        <v>73</v>
      </c>
      <c r="AJ23" s="13">
        <f>AI23*VLOOKUP('Données projet'!$B$10,Paramètres!$A$1:$I$89,3,0)*VLOOKUP('Données projet'!$B$10,Paramètres!$A$1:$I$89,5,0)</f>
        <v>61.495200000000004</v>
      </c>
      <c r="AK23" s="13">
        <f t="shared" si="35"/>
        <v>17.545759224285259</v>
      </c>
      <c r="AL23" s="20">
        <f t="shared" si="4"/>
        <v>137.66300398229683</v>
      </c>
      <c r="AM23" s="59">
        <f t="shared" si="5"/>
        <v>430.99633731563017</v>
      </c>
      <c r="AN23" s="59">
        <f ca="1">AVERAGE(OFFSET($AM$3,0,0,'Données projet'!$E$10+1,1))-AVERAGE(OFFSET($H$3,0,0,'Données projet'!$E$10+1,1))</f>
        <v>382.67703499770795</v>
      </c>
      <c r="AO23" s="59">
        <f t="shared" si="36"/>
        <v>237.98926636458219</v>
      </c>
      <c r="AP23" s="15">
        <f>IF(ISNA(VLOOKUP(A23,'Données projet'!$A$61:$I$81,3,0)),0,VLOOKUP(A23,'Données projet'!$A$61:$I$81,3,0))</f>
        <v>1</v>
      </c>
      <c r="AQ23" s="15">
        <f>IF(ISNA(VLOOKUP(A23,'Données projet'!$A$61:$I$81,4,0)),0,VLOOKUP(A23,'Données projet'!$A$61:$I$81,4,0))</f>
        <v>6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25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11.465999999999999</v>
      </c>
      <c r="D24" s="11">
        <f t="shared" si="32"/>
        <v>3.9778504618356041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119.21568777557309</v>
      </c>
      <c r="H24" s="67">
        <f t="shared" si="1"/>
        <v>320.23137288769698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19.899999999999995</v>
      </c>
      <c r="N24" s="13">
        <f>IF('Données projet'!$A$36&gt;35,N23+M24-V23,IF(A24&lt;'Données projet'!$A$36,$K$205^A24,IF(A24='Données projet'!$A$36,'Données projet'!$B$36,N23+M24-V23)))</f>
        <v>137.5</v>
      </c>
      <c r="O24" s="13">
        <f>N24*VLOOKUP('Données projet'!$B$9,Paramètres!$A$1:$I$89,3,0)*VLOOKUP('Données projet'!$B$9,Paramètres!$A$1:$I$89,5,0)</f>
        <v>82.225000000000009</v>
      </c>
      <c r="P24" s="13">
        <f t="shared" si="33"/>
        <v>22.680336573198979</v>
      </c>
      <c r="Q24" s="20">
        <f t="shared" si="2"/>
        <v>182.71012786498821</v>
      </c>
      <c r="R24" s="59">
        <f t="shared" si="0"/>
        <v>476.04346119832155</v>
      </c>
      <c r="S24" s="59">
        <f ca="1">AVERAGE(OFFSET($R$3,0,0,'Données projet'!$E$9+1,1))-AVERAGE(OFFSET($H$3,0,0,'Données projet'!$E$9+1,1))</f>
        <v>252.28378247570731</v>
      </c>
      <c r="T24" s="59">
        <f t="shared" si="34"/>
        <v>263.50418595307343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2.3588541761100617</v>
      </c>
      <c r="AA24" s="21">
        <f>EXP(-LN(2)/25)*AA23+(1-EXP(-LN(2)/25))/(LN(2)/25)*Calculateur!V24*Calculateur!X24*VLOOKUP('Données projet'!$B$9,Paramètres!$A$1:$I$89,3,0)*0.475*44/12</f>
        <v>0</v>
      </c>
      <c r="AB24" s="21">
        <f>EXP(-LN(2)/2)*AB23+(1-EXP(-LN(2)/2))/(LN(2)/2)*V24*Y24*VLOOKUP('Données projet'!$B$9,Paramètres!$A$1:$I$89,3,0)*0.475*44/12</f>
        <v>11.176751719845061</v>
      </c>
      <c r="AC24" s="22">
        <f t="shared" si="3"/>
        <v>13.535605895955122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8.1999999999999993</v>
      </c>
      <c r="AI24" s="13">
        <f>IF('Données projet'!$A$62&gt;35,AI23+AH24-AQ23,IF(A24&lt;'Données projet'!$A$62,$AF$205^A24,IF(A24='Données projet'!$A$62,'Données projet'!$B$62,AI23+AH24-AQ23)))</f>
        <v>75.2</v>
      </c>
      <c r="AJ24" s="13">
        <f>AI24*VLOOKUP('Données projet'!$B$10,Paramètres!$A$1:$I$89,3,0)*VLOOKUP('Données projet'!$B$10,Paramètres!$A$1:$I$89,5,0)</f>
        <v>63.348480000000009</v>
      </c>
      <c r="AK24" s="13">
        <f t="shared" si="35"/>
        <v>18.012175511673341</v>
      </c>
      <c r="AL24" s="20">
        <f t="shared" si="4"/>
        <v>141.70314168283105</v>
      </c>
      <c r="AM24" s="59">
        <f t="shared" si="5"/>
        <v>435.03647501616433</v>
      </c>
      <c r="AN24" s="59">
        <f ca="1">AVERAGE(OFFSET($AM$3,0,0,'Données projet'!$E$10+1,1))-AVERAGE(OFFSET($H$3,0,0,'Données projet'!$E$10+1,1))</f>
        <v>382.67703499770795</v>
      </c>
      <c r="AO24" s="59">
        <f t="shared" si="36"/>
        <v>237.98926636458219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25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12.011999999999999</v>
      </c>
      <c r="D25" s="11">
        <f t="shared" si="32"/>
        <v>4.1447674125853915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124.7189063427644</v>
      </c>
      <c r="H25" s="67">
        <f t="shared" si="1"/>
        <v>321.47303657691953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19.899999999999995</v>
      </c>
      <c r="N25" s="13">
        <f>IF('Données projet'!$A$36&gt;35,N24+M25-V24,IF(A25&lt;'Données projet'!$A$36,$K$205^A25,IF(A25='Données projet'!$A$36,'Données projet'!$B$36,N24+M25-V24)))</f>
        <v>157.4</v>
      </c>
      <c r="O25" s="13">
        <f>N25*VLOOKUP('Données projet'!$B$9,Paramètres!$A$1:$I$89,3,0)*VLOOKUP('Données projet'!$B$9,Paramètres!$A$1:$I$89,5,0)</f>
        <v>94.125200000000021</v>
      </c>
      <c r="P25" s="13">
        <f t="shared" si="33"/>
        <v>25.557514079834487</v>
      </c>
      <c r="Q25" s="20">
        <f t="shared" si="2"/>
        <v>208.44739368904513</v>
      </c>
      <c r="R25" s="59">
        <f t="shared" si="0"/>
        <v>501.78072702237841</v>
      </c>
      <c r="S25" s="59">
        <f ca="1">AVERAGE(OFFSET($R$3,0,0,'Données projet'!$E$9+1,1))-AVERAGE(OFFSET($H$3,0,0,'Données projet'!$E$9+1,1))</f>
        <v>252.28378247570731</v>
      </c>
      <c r="T25" s="59">
        <f t="shared" si="34"/>
        <v>263.50418595307343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2.312598484475525</v>
      </c>
      <c r="AA25" s="21">
        <f>EXP(-LN(2)/25)*AA24+(1-EXP(-LN(2)/25))/(LN(2)/25)*Calculateur!V25*Calculateur!X25*VLOOKUP('Données projet'!$B$9,Paramètres!$A$1:$I$89,3,0)*0.475*44/12</f>
        <v>0</v>
      </c>
      <c r="AB25" s="21">
        <f>EXP(-LN(2)/2)*AB24+(1-EXP(-LN(2)/2))/(LN(2)/2)*V25*Y25*VLOOKUP('Données projet'!$B$9,Paramètres!$A$1:$I$89,3,0)*0.475*44/12</f>
        <v>7.9031569327408508</v>
      </c>
      <c r="AC25" s="22">
        <f t="shared" si="3"/>
        <v>10.215755417216375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8.1999999999999993</v>
      </c>
      <c r="AI25" s="13">
        <f>IF('Données projet'!$A$62&gt;35,AI24+AH25-AQ24,IF(A25&lt;'Données projet'!$A$62,$AF$205^A25,IF(A25='Données projet'!$A$62,'Données projet'!$B$62,AI24+AH25-AQ24)))</f>
        <v>83.4</v>
      </c>
      <c r="AJ25" s="13">
        <f>AI25*VLOOKUP('Données projet'!$B$10,Paramètres!$A$1:$I$89,3,0)*VLOOKUP('Données projet'!$B$10,Paramètres!$A$1:$I$89,5,0)</f>
        <v>70.256160000000023</v>
      </c>
      <c r="AK25" s="13">
        <f t="shared" si="35"/>
        <v>19.737057597671299</v>
      </c>
      <c r="AL25" s="20">
        <f t="shared" si="4"/>
        <v>156.7381873159442</v>
      </c>
      <c r="AM25" s="59">
        <f t="shared" si="5"/>
        <v>450.07152064927755</v>
      </c>
      <c r="AN25" s="59">
        <f ca="1">AVERAGE(OFFSET($AM$3,0,0,'Données projet'!$E$10+1,1))-AVERAGE(OFFSET($H$3,0,0,'Données projet'!$E$10+1,1))</f>
        <v>382.67703499770795</v>
      </c>
      <c r="AO25" s="59">
        <f t="shared" si="36"/>
        <v>237.98926636458219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25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12.557999999999998</v>
      </c>
      <c r="D26" s="11">
        <f t="shared" si="32"/>
        <v>4.3108032327306516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130.21532320002606</v>
      </c>
      <c r="H26" s="67">
        <f t="shared" si="1"/>
        <v>322.71316563033918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19.899999999999995</v>
      </c>
      <c r="N26" s="13">
        <f>IF('Données projet'!$A$36&gt;35,N25+M26-V25,IF(A26&lt;'Données projet'!$A$36,$K$205^A26,IF(A26='Données projet'!$A$36,'Données projet'!$B$36,N25+M26-V25)))</f>
        <v>177.3</v>
      </c>
      <c r="O26" s="13">
        <f>N26*VLOOKUP('Données projet'!$B$9,Paramètres!$A$1:$I$89,3,0)*VLOOKUP('Données projet'!$B$9,Paramètres!$A$1:$I$89,5,0)</f>
        <v>106.02540000000002</v>
      </c>
      <c r="P26" s="13">
        <f t="shared" si="33"/>
        <v>28.392541537580129</v>
      </c>
      <c r="Q26" s="20">
        <f t="shared" si="2"/>
        <v>234.11124817795204</v>
      </c>
      <c r="R26" s="59">
        <f t="shared" si="0"/>
        <v>527.44458151128538</v>
      </c>
      <c r="S26" s="59">
        <f ca="1">AVERAGE(OFFSET($R$3,0,0,'Données projet'!$E$9+1,1))-AVERAGE(OFFSET($H$3,0,0,'Données projet'!$E$9+1,1))</f>
        <v>252.28378247570731</v>
      </c>
      <c r="T26" s="59">
        <f t="shared" si="34"/>
        <v>263.50418595307343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2.2672498387407556</v>
      </c>
      <c r="AA26" s="21">
        <f>EXP(-LN(2)/25)*AA25+(1-EXP(-LN(2)/25))/(LN(2)/25)*Calculateur!V26*Calculateur!X26*VLOOKUP('Données projet'!$B$9,Paramètres!$A$1:$I$89,3,0)*0.475*44/12</f>
        <v>0</v>
      </c>
      <c r="AB26" s="21">
        <f>EXP(-LN(2)/2)*AB25+(1-EXP(-LN(2)/2))/(LN(2)/2)*V26*Y26*VLOOKUP('Données projet'!$B$9,Paramètres!$A$1:$I$89,3,0)*0.475*44/12</f>
        <v>5.5883758599225315</v>
      </c>
      <c r="AC26" s="22">
        <f t="shared" si="3"/>
        <v>7.8556256986632871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8.1999999999999993</v>
      </c>
      <c r="AI26" s="13">
        <f>IF('Données projet'!$A$62&gt;35,AI25+AH26-AQ25,IF(A26&lt;'Données projet'!$A$62,$AF$205^A26,IF(A26='Données projet'!$A$62,'Données projet'!$B$62,AI25+AH26-AQ25)))</f>
        <v>91.600000000000009</v>
      </c>
      <c r="AJ26" s="13">
        <f>AI26*VLOOKUP('Données projet'!$B$10,Paramètres!$A$1:$I$89,3,0)*VLOOKUP('Données projet'!$B$10,Paramètres!$A$1:$I$89,5,0)</f>
        <v>77.163840000000008</v>
      </c>
      <c r="AK26" s="13">
        <f t="shared" si="35"/>
        <v>21.442278213774838</v>
      </c>
      <c r="AL26" s="20">
        <f t="shared" si="4"/>
        <v>171.73898922232453</v>
      </c>
      <c r="AM26" s="59">
        <f t="shared" si="5"/>
        <v>465.07232255565782</v>
      </c>
      <c r="AN26" s="59">
        <f ca="1">AVERAGE(OFFSET($AM$3,0,0,'Données projet'!$E$10+1,1))-AVERAGE(OFFSET($H$3,0,0,'Données projet'!$E$10+1,1))</f>
        <v>382.67703499770795</v>
      </c>
      <c r="AO26" s="59">
        <f t="shared" si="36"/>
        <v>237.98926636458219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25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13.103999999999997</v>
      </c>
      <c r="D27" s="11">
        <f t="shared" si="32"/>
        <v>4.4760006109979766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135.70526787437032</v>
      </c>
      <c r="H27" s="67">
        <f t="shared" si="1"/>
        <v>323.95183439748814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>
        <f>VLOOKUP(A27,'Données projet'!$A$35:$I$55,2,0)</f>
        <v>197.2</v>
      </c>
      <c r="L27" s="12">
        <f>VLOOKUP(A27,'Données projet'!$A$35:$I$55,9,0)</f>
        <v>19.899999999999995</v>
      </c>
      <c r="M27" s="12">
        <f t="array" ref="M27">INDEX(L:L,MIN(IF(ISNUMBER(L27:L223),ROW(L27:L223),"")))</f>
        <v>19.899999999999995</v>
      </c>
      <c r="N27" s="13">
        <f>IF('Données projet'!$A$36&gt;35,N26+M27-V26,IF(A27&lt;'Données projet'!$A$36,$K$205^A27,IF(A27='Données projet'!$A$36,'Données projet'!$B$36,N26+M27-V26)))</f>
        <v>197.20000000000002</v>
      </c>
      <c r="O27" s="13">
        <f>N27*VLOOKUP('Données projet'!$B$9,Paramètres!$A$1:$I$89,3,0)*VLOOKUP('Données projet'!$B$9,Paramètres!$A$1:$I$89,5,0)</f>
        <v>117.92560000000003</v>
      </c>
      <c r="P27" s="13">
        <f t="shared" si="33"/>
        <v>31.190689636070587</v>
      </c>
      <c r="Q27" s="20">
        <f t="shared" si="2"/>
        <v>259.71087111615634</v>
      </c>
      <c r="R27" s="59">
        <f t="shared" si="0"/>
        <v>553.0442044494896</v>
      </c>
      <c r="S27" s="59">
        <f ca="1">AVERAGE(OFFSET($R$3,0,0,'Données projet'!$E$9+1,1))-AVERAGE(OFFSET($H$3,0,0,'Données projet'!$E$9+1,1))</f>
        <v>252.28378247570731</v>
      </c>
      <c r="T27" s="59">
        <f t="shared" si="34"/>
        <v>263.50418595307343</v>
      </c>
      <c r="U27" s="15">
        <f>IF(ISNA(VLOOKUP(A27,'Données projet'!$A$35:$I$55,3,0)),0,VLOOKUP(A27,'Données projet'!$A$35:$I$55,3,0))</f>
        <v>4</v>
      </c>
      <c r="V27" s="15">
        <f>IF(ISNA(VLOOKUP(A27,'Données projet'!$A$35:$I$55,4,0)),0,VLOOKUP(A27,'Données projet'!$A$35:$I$55,4,0))</f>
        <v>42.9</v>
      </c>
      <c r="W27" s="16">
        <f>IF(ISNA(VLOOKUP(A27,'Données projet'!$A$35:$I$55,5,0)),0%,VLOOKUP(A27,'Données projet'!$A$35:$I$55,5,0)*VLOOKUP('Données projet'!$B$9,Paramètres!$A$1:$I$89,7,0))</f>
        <v>0.13500000000000001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0.5</v>
      </c>
      <c r="Z27" s="21">
        <f>EXP(-LN(2)/35)*Z26+(1-EXP(-LN(2)/35))/(LN(2)/35)*V27*W27*VLOOKUP('Données projet'!$B$9,Paramètres!$A$1:$I$89,3,0)*0.475*44/12</f>
        <v>6.8171036824084048</v>
      </c>
      <c r="AA27" s="21">
        <f>EXP(-LN(2)/25)*AA26+(1-EXP(-LN(2)/25))/(LN(2)/25)*Calculateur!V27*Calculateur!X27*VLOOKUP('Données projet'!$B$9,Paramètres!$A$1:$I$89,3,0)*0.475*44/12</f>
        <v>0</v>
      </c>
      <c r="AB27" s="21">
        <f>EXP(-LN(2)/2)*AB26+(1-EXP(-LN(2)/2))/(LN(2)/2)*V27*Y27*VLOOKUP('Données projet'!$B$9,Paramètres!$A$1:$I$89,3,0)*0.475*44/12</f>
        <v>18.474835369972155</v>
      </c>
      <c r="AC27" s="22">
        <f t="shared" si="3"/>
        <v>25.29193905238056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8.1999999999999993</v>
      </c>
      <c r="AI27" s="13">
        <f>IF('Données projet'!$A$62&gt;35,AI26+AH27-AQ26,IF(A27&lt;'Données projet'!$A$62,$AF$205^A27,IF(A27='Données projet'!$A$62,'Données projet'!$B$62,AI26+AH27-AQ26)))</f>
        <v>99.800000000000011</v>
      </c>
      <c r="AJ27" s="13">
        <f>AI27*VLOOKUP('Données projet'!$B$10,Paramètres!$A$1:$I$89,3,0)*VLOOKUP('Données projet'!$B$10,Paramètres!$A$1:$I$89,5,0)</f>
        <v>84.071520000000021</v>
      </c>
      <c r="AK27" s="13">
        <f t="shared" si="35"/>
        <v>23.129797599684554</v>
      </c>
      <c r="AL27" s="20">
        <f t="shared" si="4"/>
        <v>186.70896148611726</v>
      </c>
      <c r="AM27" s="59">
        <f t="shared" si="5"/>
        <v>480.0422948194506</v>
      </c>
      <c r="AN27" s="59">
        <f ca="1">AVERAGE(OFFSET($AM$3,0,0,'Données projet'!$E$10+1,1))-AVERAGE(OFFSET($H$3,0,0,'Données projet'!$E$10+1,1))</f>
        <v>382.67703499770795</v>
      </c>
      <c r="AO27" s="59">
        <f t="shared" si="36"/>
        <v>237.98926636458219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25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13.649999999999997</v>
      </c>
      <c r="D28" s="11">
        <f t="shared" si="32"/>
        <v>4.6403984774572109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141.18904087861708</v>
      </c>
      <c r="H28" s="67">
        <f t="shared" si="1"/>
        <v>325.18911068157126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19.875</v>
      </c>
      <c r="N28" s="13">
        <f>IF('Données projet'!$A$36&gt;35,N27+M28-V27,IF(A28&lt;'Données projet'!$A$36,$K$205^A28,IF(A28='Données projet'!$A$36,'Données projet'!$B$36,N27+M28-V27)))</f>
        <v>174.17500000000001</v>
      </c>
      <c r="O28" s="13">
        <f>N28*VLOOKUP('Données projet'!$B$9,Paramètres!$A$1:$I$89,3,0)*VLOOKUP('Données projet'!$B$9,Paramètres!$A$1:$I$89,5,0)</f>
        <v>104.15665000000001</v>
      </c>
      <c r="P28" s="13">
        <f t="shared" si="33"/>
        <v>27.949902735136092</v>
      </c>
      <c r="Q28" s="20">
        <f t="shared" si="2"/>
        <v>230.08557934702876</v>
      </c>
      <c r="R28" s="59">
        <f t="shared" si="0"/>
        <v>523.41891268036204</v>
      </c>
      <c r="S28" s="59">
        <f ca="1">AVERAGE(OFFSET($R$3,0,0,'Données projet'!$E$9+1,1))-AVERAGE(OFFSET($H$3,0,0,'Données projet'!$E$9+1,1))</f>
        <v>252.28378247570731</v>
      </c>
      <c r="T28" s="59">
        <f t="shared" si="34"/>
        <v>263.50418595307343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6.6834244372190517</v>
      </c>
      <c r="AA28" s="21">
        <f>EXP(-LN(2)/25)*AA27+(1-EXP(-LN(2)/25))/(LN(2)/25)*Calculateur!V28*Calculateur!X28*VLOOKUP('Données projet'!$B$9,Paramètres!$A$1:$I$89,3,0)*0.475*44/12</f>
        <v>0</v>
      </c>
      <c r="AB28" s="21">
        <f>EXP(-LN(2)/2)*AB27+(1-EXP(-LN(2)/2))/(LN(2)/2)*V28*Y28*VLOOKUP('Données projet'!$B$9,Paramètres!$A$1:$I$89,3,0)*0.475*44/12</f>
        <v>13.06368137141239</v>
      </c>
      <c r="AC28" s="22">
        <f t="shared" si="3"/>
        <v>19.747105808631442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8.1999999999999993</v>
      </c>
      <c r="AI28" s="13">
        <f>IF('Données projet'!$A$62&gt;35,AI27+AH28-AQ27,IF(A28&lt;'Données projet'!$A$62,$AF$205^A28,IF(A28='Données projet'!$A$62,'Données projet'!$B$62,AI27+AH28-AQ27)))</f>
        <v>108.00000000000001</v>
      </c>
      <c r="AJ28" s="13">
        <f>AI28*VLOOKUP('Données projet'!$B$10,Paramètres!$A$1:$I$89,3,0)*VLOOKUP('Données projet'!$B$10,Paramètres!$A$1:$I$89,5,0)</f>
        <v>90.97920000000002</v>
      </c>
      <c r="AK28" s="13">
        <f t="shared" si="35"/>
        <v>24.801235516871511</v>
      </c>
      <c r="AL28" s="20">
        <f t="shared" si="4"/>
        <v>201.65092519188457</v>
      </c>
      <c r="AM28" s="59">
        <f t="shared" si="5"/>
        <v>494.98425852521791</v>
      </c>
      <c r="AN28" s="59">
        <f ca="1">AVERAGE(OFFSET($AM$3,0,0,'Données projet'!$E$10+1,1))-AVERAGE(OFFSET($H$3,0,0,'Données projet'!$E$10+1,1))</f>
        <v>382.67703499770795</v>
      </c>
      <c r="AO28" s="59">
        <f t="shared" si="36"/>
        <v>237.98926636458219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25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14.195999999999996</v>
      </c>
      <c r="D29" s="11">
        <f t="shared" si="32"/>
        <v>4.8040324714872957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146.66691732376154</v>
      </c>
      <c r="H29" s="67">
        <f t="shared" si="1"/>
        <v>326.42505655450702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19.875</v>
      </c>
      <c r="N29" s="13">
        <f>IF('Données projet'!$A$36&gt;35,N28+M29-V28,IF(A29&lt;'Données projet'!$A$36,$K$205^A29,IF(A29='Données projet'!$A$36,'Données projet'!$B$36,N28+M29-V28)))</f>
        <v>194.05</v>
      </c>
      <c r="O29" s="13">
        <f>N29*VLOOKUP('Données projet'!$B$9,Paramètres!$A$1:$I$89,3,0)*VLOOKUP('Données projet'!$B$9,Paramètres!$A$1:$I$89,5,0)</f>
        <v>116.04190000000001</v>
      </c>
      <c r="P29" s="13">
        <f t="shared" si="33"/>
        <v>30.750043154423295</v>
      </c>
      <c r="Q29" s="20">
        <f t="shared" si="2"/>
        <v>255.66263432728726</v>
      </c>
      <c r="R29" s="59">
        <f t="shared" si="0"/>
        <v>548.99596766062064</v>
      </c>
      <c r="S29" s="59">
        <f ca="1">AVERAGE(OFFSET($R$3,0,0,'Données projet'!$E$9+1,1))-AVERAGE(OFFSET($H$3,0,0,'Données projet'!$E$9+1,1))</f>
        <v>252.28378247570731</v>
      </c>
      <c r="T29" s="59">
        <f t="shared" si="34"/>
        <v>263.50418595307343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6.5523665604915733</v>
      </c>
      <c r="AA29" s="21">
        <f>EXP(-LN(2)/25)*AA28+(1-EXP(-LN(2)/25))/(LN(2)/25)*Calculateur!V29*Calculateur!X29*VLOOKUP('Données projet'!$B$9,Paramètres!$A$1:$I$89,3,0)*0.475*44/12</f>
        <v>0</v>
      </c>
      <c r="AB29" s="21">
        <f>EXP(-LN(2)/2)*AB28+(1-EXP(-LN(2)/2))/(LN(2)/2)*V29*Y29*VLOOKUP('Données projet'!$B$9,Paramètres!$A$1:$I$89,3,0)*0.475*44/12</f>
        <v>9.2374176849860774</v>
      </c>
      <c r="AC29" s="22">
        <f t="shared" si="3"/>
        <v>15.789784245477652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8.1999999999999993</v>
      </c>
      <c r="AI29" s="13">
        <f>IF('Données projet'!$A$62&gt;35,AI28+AH29-AQ28,IF(A29&lt;'Données projet'!$A$62,$AF$205^A29,IF(A29='Données projet'!$A$62,'Données projet'!$B$62,AI28+AH29-AQ28)))</f>
        <v>116.20000000000002</v>
      </c>
      <c r="AJ29" s="13">
        <f>AI29*VLOOKUP('Données projet'!$B$10,Paramètres!$A$1:$I$89,3,0)*VLOOKUP('Données projet'!$B$10,Paramètres!$A$1:$I$89,5,0)</f>
        <v>97.886880000000019</v>
      </c>
      <c r="AK29" s="13">
        <f t="shared" si="35"/>
        <v>26.457951797777866</v>
      </c>
      <c r="AL29" s="20">
        <f t="shared" si="4"/>
        <v>216.56724871446315</v>
      </c>
      <c r="AM29" s="59">
        <f t="shared" si="5"/>
        <v>509.90058204779643</v>
      </c>
      <c r="AN29" s="59">
        <f ca="1">AVERAGE(OFFSET($AM$3,0,0,'Données projet'!$E$10+1,1))-AVERAGE(OFFSET($H$3,0,0,'Données projet'!$E$10+1,1))</f>
        <v>382.67703499770795</v>
      </c>
      <c r="AO29" s="59">
        <f t="shared" si="36"/>
        <v>237.98926636458219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25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14.741999999999996</v>
      </c>
      <c r="D30" s="11">
        <f t="shared" si="32"/>
        <v>4.9669353357224146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152.13914995996245</v>
      </c>
      <c r="H30" s="67">
        <f t="shared" si="1"/>
        <v>327.65972904304982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19.875</v>
      </c>
      <c r="N30" s="13">
        <f>IF('Données projet'!$A$36&gt;35,N29+M30-V29,IF(A30&lt;'Données projet'!$A$36,$K$205^A30,IF(A30='Données projet'!$A$36,'Données projet'!$B$36,N29+M30-V29)))</f>
        <v>213.92500000000001</v>
      </c>
      <c r="O30" s="13">
        <f>N30*VLOOKUP('Données projet'!$B$9,Paramètres!$A$1:$I$89,3,0)*VLOOKUP('Données projet'!$B$9,Paramètres!$A$1:$I$89,5,0)</f>
        <v>127.92715000000001</v>
      </c>
      <c r="P30" s="13">
        <f t="shared" si="33"/>
        <v>33.51693740969332</v>
      </c>
      <c r="Q30" s="20">
        <f t="shared" si="2"/>
        <v>281.18178557188253</v>
      </c>
      <c r="R30" s="59">
        <f t="shared" si="0"/>
        <v>574.51511890521579</v>
      </c>
      <c r="S30" s="59">
        <f ca="1">AVERAGE(OFFSET($R$3,0,0,'Données projet'!$E$9+1,1))-AVERAGE(OFFSET($H$3,0,0,'Données projet'!$E$9+1,1))</f>
        <v>252.28378247570731</v>
      </c>
      <c r="T30" s="59">
        <f t="shared" si="34"/>
        <v>263.50418595307343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6.4238786487893087</v>
      </c>
      <c r="AA30" s="21">
        <f>EXP(-LN(2)/25)*AA29+(1-EXP(-LN(2)/25))/(LN(2)/25)*Calculateur!V30*Calculateur!X30*VLOOKUP('Données projet'!$B$9,Paramètres!$A$1:$I$89,3,0)*0.475*44/12</f>
        <v>0</v>
      </c>
      <c r="AB30" s="21">
        <f>EXP(-LN(2)/2)*AB29+(1-EXP(-LN(2)/2))/(LN(2)/2)*V30*Y30*VLOOKUP('Données projet'!$B$9,Paramètres!$A$1:$I$89,3,0)*0.475*44/12</f>
        <v>6.5318406857061948</v>
      </c>
      <c r="AC30" s="22">
        <f t="shared" si="3"/>
        <v>12.955719334495504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8.1999999999999993</v>
      </c>
      <c r="AI30" s="13">
        <f>IF('Données projet'!$A$62&gt;35,AI29+AH30-AQ29,IF(A30&lt;'Données projet'!$A$62,$AF$205^A30,IF(A30='Données projet'!$A$62,'Données projet'!$B$62,AI29+AH30-AQ29)))</f>
        <v>124.40000000000002</v>
      </c>
      <c r="AJ30" s="13">
        <f>AI30*VLOOKUP('Données projet'!$B$10,Paramètres!$A$1:$I$89,3,0)*VLOOKUP('Données projet'!$B$10,Paramètres!$A$1:$I$89,5,0)</f>
        <v>104.79456000000003</v>
      </c>
      <c r="AK30" s="13">
        <f t="shared" si="35"/>
        <v>28.101103481959861</v>
      </c>
      <c r="AL30" s="20">
        <f t="shared" si="4"/>
        <v>231.45994723108015</v>
      </c>
      <c r="AM30" s="59">
        <f t="shared" si="5"/>
        <v>524.79328056441341</v>
      </c>
      <c r="AN30" s="59">
        <f ca="1">AVERAGE(OFFSET($AM$3,0,0,'Données projet'!$E$10+1,1))-AVERAGE(OFFSET($H$3,0,0,'Données projet'!$E$10+1,1))</f>
        <v>382.67703499770795</v>
      </c>
      <c r="AO30" s="59">
        <f t="shared" si="36"/>
        <v>237.98926636458219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25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15.287999999999995</v>
      </c>
      <c r="D31" s="11">
        <f t="shared" si="32"/>
        <v>5.1291372499950274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157.60597175434756</v>
      </c>
      <c r="H31" s="67">
        <f t="shared" si="1"/>
        <v>328.89318071040799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>
        <f>VLOOKUP(A31,'Données projet'!$A$35:$I$55,2,0)</f>
        <v>233.79999999999998</v>
      </c>
      <c r="L31" s="12">
        <f>VLOOKUP(A31,'Données projet'!$A$35:$I$55,9,0)</f>
        <v>19.875</v>
      </c>
      <c r="M31" s="12">
        <f t="array" ref="M31">INDEX(L:L,MIN(IF(ISNUMBER(L31:L227),ROW(L31:L227),"")))</f>
        <v>19.875</v>
      </c>
      <c r="N31" s="13">
        <f>IF('Données projet'!$A$36&gt;35,N30+M31-V30,IF(A31&lt;'Données projet'!$A$36,$K$205^A31,IF(A31='Données projet'!$A$36,'Données projet'!$B$36,N30+M31-V30)))</f>
        <v>233.8</v>
      </c>
      <c r="O31" s="13">
        <f>N31*VLOOKUP('Données projet'!$B$9,Paramètres!$A$1:$I$89,3,0)*VLOOKUP('Données projet'!$B$9,Paramètres!$A$1:$I$89,5,0)</f>
        <v>139.81240000000003</v>
      </c>
      <c r="P31" s="13">
        <f t="shared" si="33"/>
        <v>36.254025616047976</v>
      </c>
      <c r="Q31" s="20">
        <f t="shared" si="2"/>
        <v>306.64902461461696</v>
      </c>
      <c r="R31" s="59">
        <f t="shared" si="0"/>
        <v>599.98235794795028</v>
      </c>
      <c r="S31" s="59">
        <f ca="1">AVERAGE(OFFSET($R$3,0,0,'Données projet'!$E$9+1,1))-AVERAGE(OFFSET($H$3,0,0,'Données projet'!$E$9+1,1))</f>
        <v>252.28378247570731</v>
      </c>
      <c r="T31" s="59">
        <f t="shared" si="34"/>
        <v>263.50418595307343</v>
      </c>
      <c r="U31" s="15">
        <f>IF(ISNA(VLOOKUP(A31,'Données projet'!$A$35:$I$55,3,0)),0,VLOOKUP(A31,'Données projet'!$A$35:$I$55,3,0))</f>
        <v>5</v>
      </c>
      <c r="V31" s="15">
        <f>IF(ISNA(VLOOKUP(A31,'Données projet'!$A$35:$I$55,4,0)),0,VLOOKUP(A31,'Données projet'!$A$35:$I$55,4,0))</f>
        <v>41.4</v>
      </c>
      <c r="W31" s="16">
        <f>IF(ISNA(VLOOKUP(A31,'Données projet'!$A$35:$I$55,5,0)),0%,VLOOKUP(A31,'Données projet'!$A$35:$I$55,5,0)*VLOOKUP('Données projet'!$B$9,Paramètres!$A$1:$I$89,7,0))</f>
        <v>0.22500000000000001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0.4</v>
      </c>
      <c r="Z31" s="21">
        <f>EXP(-LN(2)/35)*Z30+(1-EXP(-LN(2)/35))/(LN(2)/35)*V31*W31*VLOOKUP('Données projet'!$B$9,Paramètres!$A$1:$I$89,3,0)*0.475*44/12</f>
        <v>13.68736515231239</v>
      </c>
      <c r="AA31" s="21">
        <f>EXP(-LN(2)/25)*AA30+(1-EXP(-LN(2)/25))/(LN(2)/25)*Calculateur!V31*Calculateur!X31*VLOOKUP('Données projet'!$B$9,Paramètres!$A$1:$I$89,3,0)*0.475*44/12</f>
        <v>0</v>
      </c>
      <c r="AB31" s="21">
        <f>EXP(-LN(2)/2)*AB30+(1-EXP(-LN(2)/2))/(LN(2)/2)*V31*Y31*VLOOKUP('Données projet'!$B$9,Paramètres!$A$1:$I$89,3,0)*0.475*44/12</f>
        <v>15.831069417021927</v>
      </c>
      <c r="AC31" s="22">
        <f t="shared" si="3"/>
        <v>29.518434569334318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8.1999999999999993</v>
      </c>
      <c r="AI31" s="13">
        <f>IF('Données projet'!$A$62&gt;35,AI30+AH31-AQ30,IF(A31&lt;'Données projet'!$A$62,$AF$205^A31,IF(A31='Données projet'!$A$62,'Données projet'!$B$62,AI30+AH31-AQ30)))</f>
        <v>132.60000000000002</v>
      </c>
      <c r="AJ31" s="13">
        <f>AI31*VLOOKUP('Données projet'!$B$10,Paramètres!$A$1:$I$89,3,0)*VLOOKUP('Données projet'!$B$10,Paramètres!$A$1:$I$89,5,0)</f>
        <v>111.70224000000003</v>
      </c>
      <c r="AK31" s="13">
        <f t="shared" si="35"/>
        <v>29.731686445309627</v>
      </c>
      <c r="AL31" s="20">
        <f t="shared" si="4"/>
        <v>246.33075522558093</v>
      </c>
      <c r="AM31" s="59">
        <f t="shared" si="5"/>
        <v>539.66408855891427</v>
      </c>
      <c r="AN31" s="59">
        <f ca="1">AVERAGE(OFFSET($AM$3,0,0,'Données projet'!$E$10+1,1))-AVERAGE(OFFSET($H$3,0,0,'Données projet'!$E$10+1,1))</f>
        <v>382.67703499770795</v>
      </c>
      <c r="AO31" s="59">
        <f t="shared" si="36"/>
        <v>237.98926636458219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25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15.833999999999994</v>
      </c>
      <c r="D32" s="11">
        <f t="shared" si="32"/>
        <v>5.2906661162322051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163.06759809021347</v>
      </c>
      <c r="H32" s="67">
        <f t="shared" si="1"/>
        <v>330.12546015243771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18.700000000000006</v>
      </c>
      <c r="N32" s="13">
        <f>IF('Données projet'!$A$36&gt;35,N31+M32-V31,IF(A32&lt;'Données projet'!$A$36,$K$205^A32,IF(A32='Données projet'!$A$36,'Données projet'!$B$36,N31+M32-V31)))</f>
        <v>211.10000000000002</v>
      </c>
      <c r="O32" s="13">
        <f>N32*VLOOKUP('Données projet'!$B$9,Paramètres!$A$1:$I$89,3,0)*VLOOKUP('Données projet'!$B$9,Paramètres!$A$1:$I$89,5,0)</f>
        <v>126.23780000000002</v>
      </c>
      <c r="P32" s="13">
        <f t="shared" si="33"/>
        <v>33.12554513217659</v>
      </c>
      <c r="Q32" s="20">
        <f t="shared" si="2"/>
        <v>277.5578261052076</v>
      </c>
      <c r="R32" s="59">
        <f t="shared" si="0"/>
        <v>570.89115943854085</v>
      </c>
      <c r="S32" s="59">
        <f ca="1">AVERAGE(OFFSET($R$3,0,0,'Données projet'!$E$9+1,1))-AVERAGE(OFFSET($H$3,0,0,'Données projet'!$E$9+1,1))</f>
        <v>252.28378247570731</v>
      </c>
      <c r="T32" s="59">
        <f t="shared" si="34"/>
        <v>263.50418595307343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13.418964270143944</v>
      </c>
      <c r="AA32" s="21">
        <f>EXP(-LN(2)/25)*AA31+(1-EXP(-LN(2)/25))/(LN(2)/25)*Calculateur!V32*Calculateur!X32*VLOOKUP('Données projet'!$B$9,Paramètres!$A$1:$I$89,3,0)*0.475*44/12</f>
        <v>0</v>
      </c>
      <c r="AB32" s="21">
        <f>EXP(-LN(2)/2)*AB31+(1-EXP(-LN(2)/2))/(LN(2)/2)*V32*Y32*VLOOKUP('Données projet'!$B$9,Paramètres!$A$1:$I$89,3,0)*0.475*44/12</f>
        <v>11.194256538211169</v>
      </c>
      <c r="AC32" s="22">
        <f t="shared" si="3"/>
        <v>24.613220808355113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8.1999999999999993</v>
      </c>
      <c r="AI32" s="13">
        <f>IF('Données projet'!$A$62&gt;35,AI31+AH32-AQ31,IF(A32&lt;'Données projet'!$A$62,$AF$205^A32,IF(A32='Données projet'!$A$62,'Données projet'!$B$62,AI31+AH32-AQ31)))</f>
        <v>140.80000000000001</v>
      </c>
      <c r="AJ32" s="13">
        <f>AI32*VLOOKUP('Données projet'!$B$10,Paramètres!$A$1:$I$89,3,0)*VLOOKUP('Données projet'!$B$10,Paramètres!$A$1:$I$89,5,0)</f>
        <v>118.60992000000002</v>
      </c>
      <c r="AK32" s="13">
        <f t="shared" si="35"/>
        <v>31.35056643275615</v>
      </c>
      <c r="AL32" s="20">
        <f t="shared" si="4"/>
        <v>261.18118053705035</v>
      </c>
      <c r="AM32" s="59">
        <f t="shared" si="5"/>
        <v>554.51451387038367</v>
      </c>
      <c r="AN32" s="59">
        <f ca="1">AVERAGE(OFFSET($AM$3,0,0,'Données projet'!$E$10+1,1))-AVERAGE(OFFSET($H$3,0,0,'Données projet'!$E$10+1,1))</f>
        <v>382.67703499770795</v>
      </c>
      <c r="AO32" s="59">
        <f t="shared" si="36"/>
        <v>237.98926636458219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0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25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16.379999999999995</v>
      </c>
      <c r="D33" s="11">
        <f t="shared" si="32"/>
        <v>5.4515478029518807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168.52422865436534</v>
      </c>
      <c r="H33" s="67">
        <f t="shared" si="1"/>
        <v>331.35661242347447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 t="e">
        <f>VLOOKUP(A33,'Données projet'!$A$35:$I$55,2,0)</f>
        <v>#N/A</v>
      </c>
      <c r="L33" s="12" t="e">
        <f>VLOOKUP(A33,'Données projet'!$A$35:$I$55,9,0)</f>
        <v>#N/A</v>
      </c>
      <c r="M33" s="12">
        <f t="array" ref="M33">INDEX(L:L,MIN(IF(ISNUMBER(L33:L229),ROW(L33:L229),"")))</f>
        <v>18.700000000000006</v>
      </c>
      <c r="N33" s="13">
        <f>IF('Données projet'!$A$36&gt;35,N32+M33-V32,IF(A33&lt;'Données projet'!$A$36,$K$205^A33,IF(A33='Données projet'!$A$36,'Données projet'!$B$36,N32+M33-V32)))</f>
        <v>229.80000000000004</v>
      </c>
      <c r="O33" s="13">
        <f>N33*VLOOKUP('Données projet'!$B$9,Paramètres!$A$1:$I$89,3,0)*VLOOKUP('Données projet'!$B$9,Paramètres!$A$1:$I$89,5,0)</f>
        <v>137.42040000000003</v>
      </c>
      <c r="P33" s="13">
        <f t="shared" si="33"/>
        <v>35.705417249692559</v>
      </c>
      <c r="Q33" s="20">
        <f t="shared" si="2"/>
        <v>301.52746504321459</v>
      </c>
      <c r="R33" s="59">
        <f t="shared" si="0"/>
        <v>594.8607983765479</v>
      </c>
      <c r="S33" s="59">
        <f ca="1">AVERAGE(OFFSET($R$3,0,0,'Données projet'!$E$9+1,1))-AVERAGE(OFFSET($H$3,0,0,'Données projet'!$E$9+1,1))</f>
        <v>252.28378247570731</v>
      </c>
      <c r="T33" s="59">
        <f t="shared" si="34"/>
        <v>263.50418595307343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13.155826565566448</v>
      </c>
      <c r="AA33" s="21">
        <f>EXP(-LN(2)/25)*AA32+(1-EXP(-LN(2)/25))/(LN(2)/25)*Calculateur!V33*Calculateur!X33*VLOOKUP('Données projet'!$B$9,Paramètres!$A$1:$I$89,3,0)*0.475*44/12</f>
        <v>0</v>
      </c>
      <c r="AB33" s="21">
        <f>EXP(-LN(2)/2)*AB32+(1-EXP(-LN(2)/2))/(LN(2)/2)*V33*Y33*VLOOKUP('Données projet'!$B$9,Paramètres!$A$1:$I$89,3,0)*0.475*44/12</f>
        <v>7.9155347085109646</v>
      </c>
      <c r="AC33" s="22">
        <f t="shared" si="3"/>
        <v>21.071361274077411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149</v>
      </c>
      <c r="AG33" s="12">
        <f>VLOOKUP(A33,'Données projet'!$A$61:$I$81,9,0)</f>
        <v>8.1999999999999993</v>
      </c>
      <c r="AH33" s="12">
        <f t="array" ref="AH33">INDEX(AG:AG,MIN(IF(ISNUMBER(AG33:AG229),ROW(AG33:AG229),"")))</f>
        <v>8.1999999999999993</v>
      </c>
      <c r="AI33" s="13">
        <f>IF('Données projet'!$A$62&gt;35,AI32+AH33-AQ32,IF(A33&lt;'Données projet'!$A$62,$AF$205^A33,IF(A33='Données projet'!$A$62,'Données projet'!$B$62,AI32+AH33-AQ32)))</f>
        <v>149</v>
      </c>
      <c r="AJ33" s="13">
        <f>AI33*VLOOKUP('Données projet'!$B$10,Paramètres!$A$1:$I$89,3,0)*VLOOKUP('Données projet'!$B$10,Paramètres!$A$1:$I$89,5,0)</f>
        <v>125.51760000000002</v>
      </c>
      <c r="AK33" s="13">
        <f t="shared" si="35"/>
        <v>32.95850265342969</v>
      </c>
      <c r="AL33" s="20">
        <f t="shared" si="4"/>
        <v>276.01254545472335</v>
      </c>
      <c r="AM33" s="59">
        <f t="shared" si="5"/>
        <v>569.34587878805667</v>
      </c>
      <c r="AN33" s="59">
        <f ca="1">AVERAGE(OFFSET($AM$3,0,0,'Données projet'!$E$10+1,1))-AVERAGE(OFFSET($H$3,0,0,'Données projet'!$E$10+1,1))</f>
        <v>382.67703499770795</v>
      </c>
      <c r="AO33" s="59">
        <f t="shared" si="36"/>
        <v>237.98926636458219</v>
      </c>
      <c r="AP33" s="15">
        <f>IF(ISNA(VLOOKUP(A33,'Données projet'!$A$61:$I$81,3,0)),0,VLOOKUP(A33,'Données projet'!$A$61:$I$81,3,0))</f>
        <v>2</v>
      </c>
      <c r="AQ33" s="15">
        <f>IF(ISNA(VLOOKUP(A33,'Données projet'!$A$61:$I$81,4,0)),0,VLOOKUP(A33,'Données projet'!$A$61:$I$81,4,0))</f>
        <v>34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0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0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25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16.925999999999995</v>
      </c>
      <c r="D34" s="11">
        <f t="shared" si="32"/>
        <v>5.6118063562438518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173.97604906574202</v>
      </c>
      <c r="H34" s="67">
        <f t="shared" si="1"/>
        <v>332.58667940379132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18.700000000000006</v>
      </c>
      <c r="N34" s="13">
        <f>IF('Données projet'!$A$36&gt;35,N33+M34-V33,IF(A34&lt;'Données projet'!$A$36,$K$205^A34,IF(A34='Données projet'!$A$36,'Données projet'!$B$36,N33+M34-V33)))</f>
        <v>248.50000000000006</v>
      </c>
      <c r="O34" s="13">
        <f>N34*VLOOKUP('Données projet'!$B$9,Paramètres!$A$1:$I$89,3,0)*VLOOKUP('Données projet'!$B$9,Paramètres!$A$1:$I$89,5,0)</f>
        <v>148.60300000000004</v>
      </c>
      <c r="P34" s="13">
        <f t="shared" si="33"/>
        <v>38.260939676613795</v>
      </c>
      <c r="Q34" s="20">
        <f t="shared" si="2"/>
        <v>325.45469493676904</v>
      </c>
      <c r="R34" s="59">
        <f t="shared" si="0"/>
        <v>618.78802827010236</v>
      </c>
      <c r="S34" s="59">
        <f ca="1">AVERAGE(OFFSET($R$3,0,0,'Données projet'!$E$9+1,1))-AVERAGE(OFFSET($H$3,0,0,'Données projet'!$E$9+1,1))</f>
        <v>252.28378247570731</v>
      </c>
      <c r="T34" s="59">
        <f t="shared" si="34"/>
        <v>263.50418595307343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12.897848830877566</v>
      </c>
      <c r="AA34" s="21">
        <f>EXP(-LN(2)/25)*AA33+(1-EXP(-LN(2)/25))/(LN(2)/25)*Calculateur!V34*Calculateur!X34*VLOOKUP('Données projet'!$B$9,Paramètres!$A$1:$I$89,3,0)*0.475*44/12</f>
        <v>0</v>
      </c>
      <c r="AB34" s="21">
        <f>EXP(-LN(2)/2)*AB33+(1-EXP(-LN(2)/2))/(LN(2)/2)*V34*Y34*VLOOKUP('Données projet'!$B$9,Paramètres!$A$1:$I$89,3,0)*0.475*44/12</f>
        <v>5.5971282691055855</v>
      </c>
      <c r="AC34" s="22">
        <f t="shared" si="3"/>
        <v>18.494977099983153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11</v>
      </c>
      <c r="AI34" s="13">
        <f>IF('Données projet'!$A$62&gt;35,AI33+AH34-AQ33,IF(A34&lt;'Données projet'!$A$62,$AF$205^A34,IF(A34='Données projet'!$A$62,'Données projet'!$B$62,AI33+AH34-AQ33)))</f>
        <v>126</v>
      </c>
      <c r="AJ34" s="13">
        <f>AI34*VLOOKUP('Données projet'!$B$10,Paramètres!$A$1:$I$89,3,0)*VLOOKUP('Données projet'!$B$10,Paramètres!$A$1:$I$89,5,0)</f>
        <v>106.14240000000001</v>
      </c>
      <c r="AK34" s="13">
        <f t="shared" si="35"/>
        <v>28.420224211524975</v>
      </c>
      <c r="AL34" s="20">
        <f t="shared" si="4"/>
        <v>234.36323716840602</v>
      </c>
      <c r="AM34" s="59">
        <f t="shared" si="5"/>
        <v>527.6965705017393</v>
      </c>
      <c r="AN34" s="59">
        <f ca="1">AVERAGE(OFFSET($AM$3,0,0,'Données projet'!$E$10+1,1))-AVERAGE(OFFSET($H$3,0,0,'Données projet'!$E$10+1,1))</f>
        <v>382.67703499770795</v>
      </c>
      <c r="AO34" s="59">
        <f t="shared" si="36"/>
        <v>237.98926636458219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0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0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25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17.471999999999994</v>
      </c>
      <c r="D35" s="11">
        <f t="shared" si="32"/>
        <v>5.7714641827626956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179.4232322879927</v>
      </c>
      <c r="H35" s="67">
        <f t="shared" si="1"/>
        <v>333.81570011831167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18.700000000000006</v>
      </c>
      <c r="N35" s="13">
        <f>IF('Données projet'!$A$36&gt;35,N34+M35-V34,IF(A35&lt;'Données projet'!$A$36,$K$205^A35,IF(A35='Données projet'!$A$36,'Données projet'!$B$36,N34+M35-V34)))</f>
        <v>267.20000000000005</v>
      </c>
      <c r="O35" s="13">
        <f>N35*VLOOKUP('Données projet'!$B$9,Paramètres!$A$1:$I$89,3,0)*VLOOKUP('Données projet'!$B$9,Paramètres!$A$1:$I$89,5,0)</f>
        <v>159.78560000000004</v>
      </c>
      <c r="P35" s="13">
        <f t="shared" si="33"/>
        <v>40.794153114967841</v>
      </c>
      <c r="Q35" s="20">
        <f t="shared" ref="Q35:Q66" si="53">(O35+P35)*0.475*44/12</f>
        <v>349.3430700085691</v>
      </c>
      <c r="R35" s="59">
        <f t="shared" si="0"/>
        <v>642.67640334190241</v>
      </c>
      <c r="S35" s="59">
        <f ca="1">AVERAGE(OFFSET($R$3,0,0,'Données projet'!$E$9+1,1))-AVERAGE(OFFSET($H$3,0,0,'Données projet'!$E$9+1,1))</f>
        <v>252.28378247570731</v>
      </c>
      <c r="T35" s="59">
        <f t="shared" si="34"/>
        <v>263.50418595307343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12.644929882215051</v>
      </c>
      <c r="AA35" s="21">
        <f>EXP(-LN(2)/25)*AA34+(1-EXP(-LN(2)/25))/(LN(2)/25)*Calculateur!V35*Calculateur!X35*VLOOKUP('Données projet'!$B$9,Paramètres!$A$1:$I$89,3,0)*0.475*44/12</f>
        <v>0</v>
      </c>
      <c r="AB35" s="21">
        <f>EXP(-LN(2)/2)*AB34+(1-EXP(-LN(2)/2))/(LN(2)/2)*V35*Y35*VLOOKUP('Données projet'!$B$9,Paramètres!$A$1:$I$89,3,0)*0.475*44/12</f>
        <v>3.9577673542554832</v>
      </c>
      <c r="AC35" s="22">
        <f t="shared" si="3"/>
        <v>16.602697236470533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11</v>
      </c>
      <c r="AI35" s="13">
        <f>IF('Données projet'!$A$62&gt;35,AI34+AH35-AQ34,IF(A35&lt;'Données projet'!$A$62,$AF$205^A35,IF(A35='Données projet'!$A$62,'Données projet'!$B$62,AI34+AH35-AQ34)))</f>
        <v>137</v>
      </c>
      <c r="AJ35" s="13">
        <f>AI35*VLOOKUP('Données projet'!$B$10,Paramètres!$A$1:$I$89,3,0)*VLOOKUP('Données projet'!$B$10,Paramètres!$A$1:$I$89,5,0)</f>
        <v>115.40880000000001</v>
      </c>
      <c r="AK35" s="13">
        <f t="shared" si="35"/>
        <v>30.60175820334798</v>
      </c>
      <c r="AL35" s="20">
        <f t="shared" si="4"/>
        <v>254.30172220416441</v>
      </c>
      <c r="AM35" s="59">
        <f t="shared" si="5"/>
        <v>547.63505553749769</v>
      </c>
      <c r="AN35" s="59">
        <f ca="1">AVERAGE(OFFSET($AM$3,0,0,'Données projet'!$E$10+1,1))-AVERAGE(OFFSET($H$3,0,0,'Données projet'!$E$10+1,1))</f>
        <v>382.67703499770795</v>
      </c>
      <c r="AO35" s="59">
        <f t="shared" si="36"/>
        <v>237.98926636458219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0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0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25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18.017999999999994</v>
      </c>
      <c r="D36" s="11">
        <f t="shared" si="32"/>
        <v>5.9305422092039777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184.86593986052188</v>
      </c>
      <c r="H36" s="67">
        <f t="shared" si="1"/>
        <v>335.04371101436357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18.700000000000006</v>
      </c>
      <c r="N36" s="13">
        <f>IF('Données projet'!$A$36&gt;35,N35+M36-V35,IF(A36&lt;'Données projet'!$A$36,$K$205^A36,IF(A36='Données projet'!$A$36,'Données projet'!$B$36,N35+M36-V35)))</f>
        <v>285.90000000000003</v>
      </c>
      <c r="O36" s="13">
        <f>N36*VLOOKUP('Données projet'!$B$9,Paramètres!$A$1:$I$89,3,0)*VLOOKUP('Données projet'!$B$9,Paramètres!$A$1:$I$89,5,0)</f>
        <v>170.96820000000002</v>
      </c>
      <c r="P36" s="13">
        <f t="shared" si="33"/>
        <v>43.306796452756018</v>
      </c>
      <c r="Q36" s="20">
        <f t="shared" si="53"/>
        <v>373.19561882188344</v>
      </c>
      <c r="R36" s="59">
        <f t="shared" si="0"/>
        <v>666.52895215521676</v>
      </c>
      <c r="S36" s="59">
        <f ca="1">AVERAGE(OFFSET($R$3,0,0,'Données projet'!$E$9+1,1))-AVERAGE(OFFSET($H$3,0,0,'Données projet'!$E$9+1,1))</f>
        <v>252.28378247570731</v>
      </c>
      <c r="T36" s="59">
        <f t="shared" si="34"/>
        <v>263.50418595307343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12.39697051987048</v>
      </c>
      <c r="AA36" s="21">
        <f>EXP(-LN(2)/25)*AA35+(1-EXP(-LN(2)/25))/(LN(2)/25)*Calculateur!V36*Calculateur!X36*VLOOKUP('Données projet'!$B$9,Paramètres!$A$1:$I$89,3,0)*0.475*44/12</f>
        <v>0</v>
      </c>
      <c r="AB36" s="21">
        <f>EXP(-LN(2)/2)*AB35+(1-EXP(-LN(2)/2))/(LN(2)/2)*V36*Y36*VLOOKUP('Données projet'!$B$9,Paramètres!$A$1:$I$89,3,0)*0.475*44/12</f>
        <v>2.7985641345527932</v>
      </c>
      <c r="AC36" s="22">
        <f t="shared" si="3"/>
        <v>15.195534654423273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11</v>
      </c>
      <c r="AI36" s="13">
        <f>IF('Données projet'!$A$62&gt;35,AI35+AH36-AQ35,IF(A36&lt;'Données projet'!$A$62,$AF$205^A36,IF(A36='Données projet'!$A$62,'Données projet'!$B$62,AI35+AH36-AQ35)))</f>
        <v>148</v>
      </c>
      <c r="AJ36" s="13">
        <f>AI36*VLOOKUP('Données projet'!$B$10,Paramètres!$A$1:$I$89,3,0)*VLOOKUP('Données projet'!$B$10,Paramètres!$A$1:$I$89,5,0)</f>
        <v>124.6752</v>
      </c>
      <c r="AK36" s="13">
        <f t="shared" si="35"/>
        <v>32.762975561628714</v>
      </c>
      <c r="AL36" s="20">
        <f t="shared" si="4"/>
        <v>274.20482243650338</v>
      </c>
      <c r="AM36" s="59">
        <f t="shared" si="5"/>
        <v>567.53815576983675</v>
      </c>
      <c r="AN36" s="59">
        <f ca="1">AVERAGE(OFFSET($AM$3,0,0,'Données projet'!$E$10+1,1))-AVERAGE(OFFSET($H$3,0,0,'Données projet'!$E$10+1,1))</f>
        <v>382.67703499770795</v>
      </c>
      <c r="AO36" s="59">
        <f t="shared" si="36"/>
        <v>237.98926636458219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0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0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25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18.563999999999993</v>
      </c>
      <c r="D37" s="11">
        <f t="shared" si="32"/>
        <v>6.0890600219069135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190.30432297612347</v>
      </c>
      <c r="H37" s="67">
        <f t="shared" si="1"/>
        <v>336.27074620482119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>
        <f>VLOOKUP(A37,'Données projet'!$A$35:$I$55,2,0)</f>
        <v>304.60000000000002</v>
      </c>
      <c r="L37" s="12">
        <f>VLOOKUP(A37,'Données projet'!$A$35:$I$55,9,0)</f>
        <v>18.700000000000006</v>
      </c>
      <c r="M37" s="12">
        <f t="array" ref="M37">INDEX(L:L,MIN(IF(ISNUMBER(L37:L233),ROW(L37:L233),"")))</f>
        <v>18.700000000000006</v>
      </c>
      <c r="N37" s="13">
        <f>IF('Données projet'!$A$36&gt;35,N36+M37-V36,IF(A37&lt;'Données projet'!$A$36,$K$205^A37,IF(A37='Données projet'!$A$36,'Données projet'!$B$36,N36+M37-V36)))</f>
        <v>304.60000000000002</v>
      </c>
      <c r="O37" s="13">
        <f>N37*VLOOKUP('Données projet'!$B$9,Paramètres!$A$1:$I$89,3,0)*VLOOKUP('Données projet'!$B$9,Paramètres!$A$1:$I$89,5,0)</f>
        <v>182.15080000000003</v>
      </c>
      <c r="P37" s="13">
        <f t="shared" si="33"/>
        <v>45.800368240506849</v>
      </c>
      <c r="Q37" s="20">
        <f t="shared" si="53"/>
        <v>397.0149513522162</v>
      </c>
      <c r="R37" s="59">
        <f t="shared" si="0"/>
        <v>690.34828468554952</v>
      </c>
      <c r="S37" s="59">
        <f ca="1">AVERAGE(OFFSET($R$3,0,0,'Données projet'!$E$9+1,1))-AVERAGE(OFFSET($H$3,0,0,'Données projet'!$E$9+1,1))</f>
        <v>252.28378247570731</v>
      </c>
      <c r="T37" s="59">
        <f t="shared" si="34"/>
        <v>263.50418595307343</v>
      </c>
      <c r="U37" s="15">
        <f>IF(ISNA(VLOOKUP(A37,'Données projet'!$A$35:$I$55,3,0)),0,VLOOKUP(A37,'Données projet'!$A$35:$I$55,3,0))</f>
        <v>6</v>
      </c>
      <c r="V37" s="15">
        <f>IF(ISNA(VLOOKUP(A37,'Données projet'!$A$35:$I$55,4,0)),0,VLOOKUP(A37,'Données projet'!$A$35:$I$55,4,0))</f>
        <v>59.9</v>
      </c>
      <c r="W37" s="16">
        <f>IF(ISNA(VLOOKUP(A37,'Données projet'!$A$35:$I$55,5,0)),0%,VLOOKUP(A37,'Données projet'!$A$35:$I$55,5,0)*VLOOKUP('Données projet'!$B$9,Paramètres!$A$1:$I$89,7,0))</f>
        <v>0.315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0.2</v>
      </c>
      <c r="Z37" s="21">
        <f>EXP(-LN(2)/35)*Z36+(1-EXP(-LN(2)/35))/(LN(2)/35)*V37*W37*VLOOKUP('Données projet'!$B$9,Paramètres!$A$1:$I$89,3,0)*0.475*44/12</f>
        <v>27.121981783002866</v>
      </c>
      <c r="AA37" s="21">
        <f>EXP(-LN(2)/25)*AA36+(1-EXP(-LN(2)/25))/(LN(2)/25)*Calculateur!V37*Calculateur!X37*VLOOKUP('Données projet'!$B$9,Paramètres!$A$1:$I$89,3,0)*0.475*44/12</f>
        <v>0</v>
      </c>
      <c r="AB37" s="21">
        <f>EXP(-LN(2)/2)*AB36+(1-EXP(-LN(2)/2))/(LN(2)/2)*V37*Y37*VLOOKUP('Données projet'!$B$9,Paramètres!$A$1:$I$89,3,0)*0.475*44/12</f>
        <v>10.090241145899245</v>
      </c>
      <c r="AC37" s="22">
        <f t="shared" si="3"/>
        <v>37.212222928902108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11</v>
      </c>
      <c r="AI37" s="13">
        <f>IF('Données projet'!$A$62&gt;35,AI36+AH37-AQ36,IF(A37&lt;'Données projet'!$A$62,$AF$205^A37,IF(A37='Données projet'!$A$62,'Données projet'!$B$62,AI36+AH37-AQ36)))</f>
        <v>159</v>
      </c>
      <c r="AJ37" s="13">
        <f>AI37*VLOOKUP('Données projet'!$B$10,Paramètres!$A$1:$I$89,3,0)*VLOOKUP('Données projet'!$B$10,Paramètres!$A$1:$I$89,5,0)</f>
        <v>133.94159999999999</v>
      </c>
      <c r="AK37" s="13">
        <f t="shared" si="35"/>
        <v>34.905558014330531</v>
      </c>
      <c r="AL37" s="20">
        <f t="shared" si="4"/>
        <v>294.07546687495898</v>
      </c>
      <c r="AM37" s="59">
        <f t="shared" si="5"/>
        <v>587.40880020829229</v>
      </c>
      <c r="AN37" s="59">
        <f ca="1">AVERAGE(OFFSET($AM$3,0,0,'Données projet'!$E$10+1,1))-AVERAGE(OFFSET($H$3,0,0,'Données projet'!$E$10+1,1))</f>
        <v>382.67703499770795</v>
      </c>
      <c r="AO37" s="59">
        <f t="shared" si="36"/>
        <v>237.98926636458219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0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0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25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19.109999999999992</v>
      </c>
      <c r="D38" s="11">
        <f t="shared" si="32"/>
        <v>6.2470359895716463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195.73852342827229</v>
      </c>
      <c r="H38" s="67">
        <f t="shared" si="1"/>
        <v>337.49683768183723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14.850000000000009</v>
      </c>
      <c r="N38" s="13">
        <f>IF('Données projet'!$A$36&gt;35,N37+M38-V37,IF(A38&lt;'Données projet'!$A$36,$K$205^A38,IF(A38='Données projet'!$A$36,'Données projet'!$B$36,N37+M38-V37)))</f>
        <v>259.55000000000007</v>
      </c>
      <c r="O38" s="13">
        <f>N38*VLOOKUP('Données projet'!$B$9,Paramètres!$A$1:$I$89,3,0)*VLOOKUP('Données projet'!$B$9,Paramètres!$A$1:$I$89,5,0)</f>
        <v>155.21090000000007</v>
      </c>
      <c r="P38" s="13">
        <f t="shared" si="33"/>
        <v>39.760417498033199</v>
      </c>
      <c r="Q38" s="20">
        <f t="shared" si="53"/>
        <v>339.57504464240793</v>
      </c>
      <c r="R38" s="59">
        <f t="shared" si="0"/>
        <v>632.90837797574125</v>
      </c>
      <c r="S38" s="59">
        <f ca="1">AVERAGE(OFFSET($R$3,0,0,'Données projet'!$E$9+1,1))-AVERAGE(OFFSET($H$3,0,0,'Données projet'!$E$9+1,1))</f>
        <v>252.28378247570731</v>
      </c>
      <c r="T38" s="59">
        <f t="shared" si="34"/>
        <v>263.50418595307343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26.590136263013605</v>
      </c>
      <c r="AA38" s="21">
        <f>EXP(-LN(2)/25)*AA37+(1-EXP(-LN(2)/25))/(LN(2)/25)*Calculateur!V38*Calculateur!X38*VLOOKUP('Données projet'!$B$9,Paramètres!$A$1:$I$89,3,0)*0.475*44/12</f>
        <v>0</v>
      </c>
      <c r="AB38" s="21">
        <f>EXP(-LN(2)/2)*AB37+(1-EXP(-LN(2)/2))/(LN(2)/2)*V38*Y38*VLOOKUP('Données projet'!$B$9,Paramètres!$A$1:$I$89,3,0)*0.475*44/12</f>
        <v>7.1348779380728766</v>
      </c>
      <c r="AC38" s="22">
        <f t="shared" si="3"/>
        <v>33.725014201086481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11</v>
      </c>
      <c r="AI38" s="13">
        <f>IF('Données projet'!$A$62&gt;35,AI37+AH38-AQ37,IF(A38&lt;'Données projet'!$A$62,$AF$205^A38,IF(A38='Données projet'!$A$62,'Données projet'!$B$62,AI37+AH38-AQ37)))</f>
        <v>170</v>
      </c>
      <c r="AJ38" s="13">
        <f>AI38*VLOOKUP('Données projet'!$B$10,Paramètres!$A$1:$I$89,3,0)*VLOOKUP('Données projet'!$B$10,Paramètres!$A$1:$I$89,5,0)</f>
        <v>143.20800000000003</v>
      </c>
      <c r="AK38" s="13">
        <f t="shared" si="35"/>
        <v>37.030941422835831</v>
      </c>
      <c r="AL38" s="20">
        <f t="shared" si="4"/>
        <v>313.91615631143912</v>
      </c>
      <c r="AM38" s="59">
        <f t="shared" si="5"/>
        <v>607.24948964477244</v>
      </c>
      <c r="AN38" s="59">
        <f ca="1">AVERAGE(OFFSET($AM$3,0,0,'Données projet'!$E$10+1,1))-AVERAGE(OFFSET($H$3,0,0,'Données projet'!$E$10+1,1))</f>
        <v>382.67703499770795</v>
      </c>
      <c r="AO38" s="59">
        <f t="shared" si="36"/>
        <v>237.98926636458219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0</v>
      </c>
      <c r="AV38" s="21">
        <f>EXP(-LN(2)/25)*AV37+(1-EXP(-LN(2)/25))/(LN(2)/25)*Calculateur!AQ38*Calculateur!AS38*VLOOKUP('Données projet'!$B$10,Paramètres!$A$1:$I$89,3,0)*0.475*44/12</f>
        <v>0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0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25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19.655999999999992</v>
      </c>
      <c r="D39" s="11">
        <f t="shared" si="32"/>
        <v>6.4044873715575248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201.16867444711067</v>
      </c>
      <c r="H39" s="67">
        <f t="shared" si="1"/>
        <v>338.72201550546265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14.850000000000009</v>
      </c>
      <c r="N39" s="13">
        <f>IF('Données projet'!$A$36&gt;35,N38+M39-V38,IF(A39&lt;'Données projet'!$A$36,$K$205^A39,IF(A39='Données projet'!$A$36,'Données projet'!$B$36,N38+M39-V38)))</f>
        <v>274.40000000000009</v>
      </c>
      <c r="O39" s="13">
        <f>N39*VLOOKUP('Données projet'!$B$9,Paramètres!$A$1:$I$89,3,0)*VLOOKUP('Données projet'!$B$9,Paramètres!$A$1:$I$89,5,0)</f>
        <v>164.09120000000007</v>
      </c>
      <c r="P39" s="13">
        <f t="shared" si="33"/>
        <v>41.763936620208121</v>
      </c>
      <c r="Q39" s="20">
        <f t="shared" si="53"/>
        <v>358.5310296135292</v>
      </c>
      <c r="R39" s="59">
        <f t="shared" si="0"/>
        <v>651.86436294686246</v>
      </c>
      <c r="S39" s="59">
        <f ca="1">AVERAGE(OFFSET($R$3,0,0,'Données projet'!$E$9+1,1))-AVERAGE(OFFSET($H$3,0,0,'Données projet'!$E$9+1,1))</f>
        <v>252.28378247570731</v>
      </c>
      <c r="T39" s="59">
        <f t="shared" si="34"/>
        <v>263.50418595307343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26.068719909277597</v>
      </c>
      <c r="AA39" s="21">
        <f>EXP(-LN(2)/25)*AA38+(1-EXP(-LN(2)/25))/(LN(2)/25)*Calculateur!V39*Calculateur!X39*VLOOKUP('Données projet'!$B$9,Paramètres!$A$1:$I$89,3,0)*0.475*44/12</f>
        <v>0</v>
      </c>
      <c r="AB39" s="21">
        <f>EXP(-LN(2)/2)*AB38+(1-EXP(-LN(2)/2))/(LN(2)/2)*V39*Y39*VLOOKUP('Données projet'!$B$9,Paramètres!$A$1:$I$89,3,0)*0.475*44/12</f>
        <v>5.0451205729496236</v>
      </c>
      <c r="AC39" s="22">
        <f t="shared" si="3"/>
        <v>31.113840482227221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11</v>
      </c>
      <c r="AI39" s="13">
        <f>IF('Données projet'!$A$62&gt;35,AI38+AH39-AQ38,IF(A39&lt;'Données projet'!$A$62,$AF$205^A39,IF(A39='Données projet'!$A$62,'Données projet'!$B$62,AI38+AH39-AQ38)))</f>
        <v>181</v>
      </c>
      <c r="AJ39" s="13">
        <f>AI39*VLOOKUP('Données projet'!$B$10,Paramètres!$A$1:$I$89,3,0)*VLOOKUP('Données projet'!$B$10,Paramètres!$A$1:$I$89,5,0)</f>
        <v>152.47440000000003</v>
      </c>
      <c r="AK39" s="13">
        <f t="shared" si="35"/>
        <v>39.140365323908171</v>
      </c>
      <c r="AL39" s="20">
        <f t="shared" si="4"/>
        <v>333.72904960580678</v>
      </c>
      <c r="AM39" s="59">
        <f t="shared" si="5"/>
        <v>627.06238293914009</v>
      </c>
      <c r="AN39" s="59">
        <f ca="1">AVERAGE(OFFSET($AM$3,0,0,'Données projet'!$E$10+1,1))-AVERAGE(OFFSET($H$3,0,0,'Données projet'!$E$10+1,1))</f>
        <v>382.67703499770795</v>
      </c>
      <c r="AO39" s="59">
        <f t="shared" si="36"/>
        <v>237.98926636458219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0</v>
      </c>
      <c r="AV39" s="21">
        <f>EXP(-LN(2)/25)*AV38+(1-EXP(-LN(2)/25))/(LN(2)/25)*Calculateur!AQ39*Calculateur!AS39*VLOOKUP('Données projet'!$B$10,Paramètres!$A$1:$I$89,3,0)*0.475*44/12</f>
        <v>0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0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25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20.201999999999991</v>
      </c>
      <c r="D40" s="11">
        <f t="shared" si="32"/>
        <v>6.5614304138099282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206.59490143993625</v>
      </c>
      <c r="H40" s="67">
        <f t="shared" si="1"/>
        <v>339.94630797071892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14.850000000000009</v>
      </c>
      <c r="N40" s="13">
        <f>IF('Données projet'!$A$36&gt;35,N39+M40-V39,IF(A40&lt;'Données projet'!$A$36,$K$205^A40,IF(A40='Données projet'!$A$36,'Données projet'!$B$36,N39+M40-V39)))</f>
        <v>289.25000000000011</v>
      </c>
      <c r="O40" s="13">
        <f>N40*VLOOKUP('Données projet'!$B$9,Paramètres!$A$1:$I$89,3,0)*VLOOKUP('Données projet'!$B$9,Paramètres!$A$1:$I$89,5,0)</f>
        <v>172.97150000000008</v>
      </c>
      <c r="P40" s="13">
        <f t="shared" si="33"/>
        <v>43.754868068248705</v>
      </c>
      <c r="Q40" s="20">
        <f t="shared" si="53"/>
        <v>377.46509105219997</v>
      </c>
      <c r="R40" s="59">
        <f t="shared" si="0"/>
        <v>670.79842438553328</v>
      </c>
      <c r="S40" s="59">
        <f ca="1">AVERAGE(OFFSET($R$3,0,0,'Données projet'!$E$9+1,1))-AVERAGE(OFFSET($H$3,0,0,'Données projet'!$E$9+1,1))</f>
        <v>252.28378247570731</v>
      </c>
      <c r="T40" s="59">
        <f t="shared" si="34"/>
        <v>263.50418595307343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25.557528212205778</v>
      </c>
      <c r="AA40" s="21">
        <f>EXP(-LN(2)/25)*AA39+(1-EXP(-LN(2)/25))/(LN(2)/25)*Calculateur!V40*Calculateur!X40*VLOOKUP('Données projet'!$B$9,Paramètres!$A$1:$I$89,3,0)*0.475*44/12</f>
        <v>0</v>
      </c>
      <c r="AB40" s="21">
        <f>EXP(-LN(2)/2)*AB39+(1-EXP(-LN(2)/2))/(LN(2)/2)*V40*Y40*VLOOKUP('Données projet'!$B$9,Paramètres!$A$1:$I$89,3,0)*0.475*44/12</f>
        <v>3.5674389690364392</v>
      </c>
      <c r="AC40" s="22">
        <f t="shared" si="3"/>
        <v>29.124967181242216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11</v>
      </c>
      <c r="AI40" s="13">
        <f>IF('Données projet'!$A$62&gt;35,AI39+AH40-AQ39,IF(A40&lt;'Données projet'!$A$62,$AF$205^A40,IF(A40='Données projet'!$A$62,'Données projet'!$B$62,AI39+AH40-AQ39)))</f>
        <v>192</v>
      </c>
      <c r="AJ40" s="13">
        <f>AI40*VLOOKUP('Données projet'!$B$10,Paramètres!$A$1:$I$89,3,0)*VLOOKUP('Données projet'!$B$10,Paramètres!$A$1:$I$89,5,0)</f>
        <v>161.74080000000001</v>
      </c>
      <c r="AK40" s="13">
        <f t="shared" si="35"/>
        <v>41.234910079352424</v>
      </c>
      <c r="AL40" s="20">
        <f t="shared" si="4"/>
        <v>353.51602838820548</v>
      </c>
      <c r="AM40" s="59">
        <f t="shared" si="5"/>
        <v>646.8493617215388</v>
      </c>
      <c r="AN40" s="59">
        <f ca="1">AVERAGE(OFFSET($AM$3,0,0,'Données projet'!$E$10+1,1))-AVERAGE(OFFSET($H$3,0,0,'Données projet'!$E$10+1,1))</f>
        <v>382.67703499770795</v>
      </c>
      <c r="AO40" s="59">
        <f t="shared" si="36"/>
        <v>237.98926636458219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0</v>
      </c>
      <c r="AV40" s="21">
        <f>EXP(-LN(2)/25)*AV39+(1-EXP(-LN(2)/25))/(LN(2)/25)*Calculateur!AQ40*Calculateur!AS40*VLOOKUP('Données projet'!$B$10,Paramètres!$A$1:$I$89,3,0)*0.475*44/12</f>
        <v>0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0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25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20.74799999999999</v>
      </c>
      <c r="D41" s="11">
        <f t="shared" si="32"/>
        <v>6.717880434124976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212.01732264938573</v>
      </c>
      <c r="H41" s="67">
        <f t="shared" si="1"/>
        <v>341.16974175610096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14.850000000000009</v>
      </c>
      <c r="N41" s="13">
        <f>IF('Données projet'!$A$36&gt;35,N40+M41-V40,IF(A41&lt;'Données projet'!$A$36,$K$205^A41,IF(A41='Données projet'!$A$36,'Données projet'!$B$36,N40+M41-V40)))</f>
        <v>304.10000000000014</v>
      </c>
      <c r="O41" s="13">
        <f>N41*VLOOKUP('Données projet'!$B$9,Paramètres!$A$1:$I$89,3,0)*VLOOKUP('Données projet'!$B$9,Paramètres!$A$1:$I$89,5,0)</f>
        <v>181.85180000000011</v>
      </c>
      <c r="P41" s="13">
        <f t="shared" si="33"/>
        <v>45.733931809167743</v>
      </c>
      <c r="Q41" s="20">
        <f t="shared" si="53"/>
        <v>396.3784829009673</v>
      </c>
      <c r="R41" s="59">
        <f t="shared" si="0"/>
        <v>689.71181623430061</v>
      </c>
      <c r="S41" s="59">
        <f ca="1">AVERAGE(OFFSET($R$3,0,0,'Données projet'!$E$9+1,1))-AVERAGE(OFFSET($H$3,0,0,'Données projet'!$E$9+1,1))</f>
        <v>252.28378247570731</v>
      </c>
      <c r="T41" s="59">
        <f t="shared" si="34"/>
        <v>263.50418595307343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25.056360672517389</v>
      </c>
      <c r="AA41" s="21">
        <f>EXP(-LN(2)/25)*AA40+(1-EXP(-LN(2)/25))/(LN(2)/25)*Calculateur!V41*Calculateur!X41*VLOOKUP('Données projet'!$B$9,Paramètres!$A$1:$I$89,3,0)*0.475*44/12</f>
        <v>0</v>
      </c>
      <c r="AB41" s="21">
        <f>EXP(-LN(2)/2)*AB40+(1-EXP(-LN(2)/2))/(LN(2)/2)*V41*Y41*VLOOKUP('Données projet'!$B$9,Paramètres!$A$1:$I$89,3,0)*0.475*44/12</f>
        <v>2.5225602864748122</v>
      </c>
      <c r="AC41" s="22">
        <f t="shared" si="3"/>
        <v>27.5789209589922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11</v>
      </c>
      <c r="AI41" s="13">
        <f>IF('Données projet'!$A$62&gt;35,AI40+AH41-AQ40,IF(A41&lt;'Données projet'!$A$62,$AF$205^A41,IF(A41='Données projet'!$A$62,'Données projet'!$B$62,AI40+AH41-AQ40)))</f>
        <v>203</v>
      </c>
      <c r="AJ41" s="13">
        <f>AI41*VLOOKUP('Données projet'!$B$10,Paramètres!$A$1:$I$89,3,0)*VLOOKUP('Données projet'!$B$10,Paramètres!$A$1:$I$89,5,0)</f>
        <v>171.00720000000001</v>
      </c>
      <c r="AK41" s="13">
        <f t="shared" si="35"/>
        <v>43.315525267338089</v>
      </c>
      <c r="AL41" s="20">
        <f t="shared" si="4"/>
        <v>373.27874650728057</v>
      </c>
      <c r="AM41" s="59">
        <f t="shared" si="5"/>
        <v>666.61207984061389</v>
      </c>
      <c r="AN41" s="59">
        <f ca="1">AVERAGE(OFFSET($AM$3,0,0,'Données projet'!$E$10+1,1))-AVERAGE(OFFSET($H$3,0,0,'Données projet'!$E$10+1,1))</f>
        <v>382.67703499770795</v>
      </c>
      <c r="AO41" s="59">
        <f t="shared" si="36"/>
        <v>237.98926636458219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0</v>
      </c>
      <c r="AV41" s="21">
        <f>EXP(-LN(2)/25)*AV40+(1-EXP(-LN(2)/25))/(LN(2)/25)*Calculateur!AQ41*Calculateur!AS41*VLOOKUP('Données projet'!$B$10,Paramètres!$A$1:$I$89,3,0)*0.475*44/12</f>
        <v>0</v>
      </c>
      <c r="AW41" s="21">
        <f>EXP(-LN(2)/2)*AW40+(1-EXP(-LN(2)/2))/(LN(2)/2)*AQ41*AT41*VLOOKUP('Données projet'!$B$10,Paramètres!$A$1:$I$89,3,0)*0.475*44/12</f>
        <v>0</v>
      </c>
      <c r="AX41" s="21">
        <f t="shared" si="6"/>
        <v>0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25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21.29399999999999</v>
      </c>
      <c r="D42" s="11">
        <f t="shared" si="32"/>
        <v>6.8738518981865644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217.43604974038746</v>
      </c>
      <c r="H42" s="67">
        <f t="shared" si="1"/>
        <v>342.3923420560082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14.850000000000009</v>
      </c>
      <c r="N42" s="13">
        <f>IF('Données projet'!$A$36&gt;35,N41+M42-V41,IF(A42&lt;'Données projet'!$A$36,$K$205^A42,IF(A42='Données projet'!$A$36,'Données projet'!$B$36,N41+M42-V41)))</f>
        <v>318.95000000000016</v>
      </c>
      <c r="O42" s="13">
        <f>N42*VLOOKUP('Données projet'!$B$9,Paramètres!$A$1:$I$89,3,0)*VLOOKUP('Données projet'!$B$9,Paramètres!$A$1:$I$89,5,0)</f>
        <v>190.73210000000009</v>
      </c>
      <c r="P42" s="13">
        <f t="shared" si="33"/>
        <v>47.701773521629008</v>
      </c>
      <c r="Q42" s="20">
        <f t="shared" si="53"/>
        <v>415.27232971683731</v>
      </c>
      <c r="R42" s="59">
        <f t="shared" si="0"/>
        <v>708.60566305017062</v>
      </c>
      <c r="S42" s="59">
        <f ca="1">AVERAGE(OFFSET($R$3,0,0,'Données projet'!$E$9+1,1))-AVERAGE(OFFSET($H$3,0,0,'Données projet'!$E$9+1,1))</f>
        <v>252.28378247570731</v>
      </c>
      <c r="T42" s="59">
        <f t="shared" si="34"/>
        <v>263.50418595307343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24.565020722600273</v>
      </c>
      <c r="AA42" s="21">
        <f>EXP(-LN(2)/25)*AA41+(1-EXP(-LN(2)/25))/(LN(2)/25)*Calculateur!V42*Calculateur!X42*VLOOKUP('Données projet'!$B$9,Paramètres!$A$1:$I$89,3,0)*0.475*44/12</f>
        <v>0</v>
      </c>
      <c r="AB42" s="21">
        <f>EXP(-LN(2)/2)*AB41+(1-EXP(-LN(2)/2))/(LN(2)/2)*V42*Y42*VLOOKUP('Données projet'!$B$9,Paramètres!$A$1:$I$89,3,0)*0.475*44/12</f>
        <v>1.7837194845182198</v>
      </c>
      <c r="AC42" s="22">
        <f t="shared" si="3"/>
        <v>26.348740207118492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11</v>
      </c>
      <c r="AI42" s="13">
        <f>IF('Données projet'!$A$62&gt;35,AI41+AH42-AQ41,IF(A42&lt;'Données projet'!$A$62,$AF$205^A42,IF(A42='Données projet'!$A$62,'Données projet'!$B$62,AI41+AH42-AQ41)))</f>
        <v>214</v>
      </c>
      <c r="AJ42" s="13">
        <f>AI42*VLOOKUP('Données projet'!$B$10,Paramètres!$A$1:$I$89,3,0)*VLOOKUP('Données projet'!$B$10,Paramètres!$A$1:$I$89,5,0)</f>
        <v>180.27360000000002</v>
      </c>
      <c r="AK42" s="13">
        <f t="shared" si="35"/>
        <v>45.383051743938047</v>
      </c>
      <c r="AL42" s="20">
        <f t="shared" si="4"/>
        <v>393.01866845402543</v>
      </c>
      <c r="AM42" s="59">
        <f t="shared" si="5"/>
        <v>686.35200178735874</v>
      </c>
      <c r="AN42" s="59">
        <f ca="1">AVERAGE(OFFSET($AM$3,0,0,'Données projet'!$E$10+1,1))-AVERAGE(OFFSET($H$3,0,0,'Données projet'!$E$10+1,1))</f>
        <v>382.67703499770795</v>
      </c>
      <c r="AO42" s="59">
        <f t="shared" si="36"/>
        <v>237.98926636458219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0</v>
      </c>
      <c r="AV42" s="21">
        <f>EXP(-LN(2)/25)*AV41+(1-EXP(-LN(2)/25))/(LN(2)/25)*Calculateur!AQ42*Calculateur!AS42*VLOOKUP('Données projet'!$B$10,Paramètres!$A$1:$I$89,3,0)*0.475*44/12</f>
        <v>0</v>
      </c>
      <c r="AW42" s="21">
        <f>EXP(-LN(2)/2)*AW41+(1-EXP(-LN(2)/2))/(LN(2)/2)*AQ42*AT42*VLOOKUP('Données projet'!$B$10,Paramètres!$A$1:$I$89,3,0)*0.475*44/12</f>
        <v>0</v>
      </c>
      <c r="AX42" s="21">
        <f t="shared" si="6"/>
        <v>0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25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21.839999999999989</v>
      </c>
      <c r="D43" s="11">
        <f t="shared" si="32"/>
        <v>7.0293584875852577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222.85118832521945</v>
      </c>
      <c r="H43" s="67">
        <f t="shared" si="1"/>
        <v>343.61413269921093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>
        <f>VLOOKUP(A43,'Données projet'!$A$35:$I$55,2,0)</f>
        <v>333.80000000000007</v>
      </c>
      <c r="L43" s="12">
        <f>VLOOKUP(A43,'Données projet'!$A$35:$I$55,9,0)</f>
        <v>14.850000000000009</v>
      </c>
      <c r="M43" s="12">
        <f t="array" ref="M43">INDEX(L:L,MIN(IF(ISNUMBER(L43:L239),ROW(L43:L239),"")))</f>
        <v>14.850000000000009</v>
      </c>
      <c r="N43" s="13">
        <f>IF('Données projet'!$A$36&gt;35,N42+M43-V42,IF(A43&lt;'Données projet'!$A$36,$K$205^A43,IF(A43='Données projet'!$A$36,'Données projet'!$B$36,N42+M43-V42)))</f>
        <v>333.80000000000018</v>
      </c>
      <c r="O43" s="13">
        <f>N43*VLOOKUP('Données projet'!$B$9,Paramètres!$A$1:$I$89,3,0)*VLOOKUP('Données projet'!$B$9,Paramètres!$A$1:$I$89,5,0)</f>
        <v>199.61240000000012</v>
      </c>
      <c r="P43" s="13">
        <f t="shared" si="33"/>
        <v>49.658975362033459</v>
      </c>
      <c r="Q43" s="20">
        <f t="shared" si="53"/>
        <v>434.14764542220854</v>
      </c>
      <c r="R43" s="59">
        <f t="shared" si="0"/>
        <v>727.48097875554186</v>
      </c>
      <c r="S43" s="59">
        <f ca="1">AVERAGE(OFFSET($R$3,0,0,'Données projet'!$E$9+1,1))-AVERAGE(OFFSET($H$3,0,0,'Données projet'!$E$9+1,1))</f>
        <v>252.28378247570731</v>
      </c>
      <c r="T43" s="59">
        <f t="shared" si="34"/>
        <v>263.50418595307343</v>
      </c>
      <c r="U43" s="15">
        <f>IF(ISNA(VLOOKUP(A43,'Données projet'!$A$35:$I$55,3,0)),0,VLOOKUP(A43,'Données projet'!$A$35:$I$55,3,0))</f>
        <v>7</v>
      </c>
      <c r="V43" s="15">
        <f>IF(ISNA(VLOOKUP(A43,'Données projet'!$A$35:$I$55,4,0)),0,VLOOKUP(A43,'Données projet'!$A$35:$I$55,4,0))</f>
        <v>34.1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24.083315649413258</v>
      </c>
      <c r="AA43" s="21">
        <f>EXP(-LN(2)/25)*AA42+(1-EXP(-LN(2)/25))/(LN(2)/25)*Calculateur!V43*Calculateur!X43*VLOOKUP('Données projet'!$B$9,Paramètres!$A$1:$I$89,3,0)*0.475*44/12</f>
        <v>0</v>
      </c>
      <c r="AB43" s="21">
        <f>EXP(-LN(2)/2)*AB42+(1-EXP(-LN(2)/2))/(LN(2)/2)*V43*Y43*VLOOKUP('Données projet'!$B$9,Paramètres!$A$1:$I$89,3,0)*0.475*44/12</f>
        <v>1.2612801432374063</v>
      </c>
      <c r="AC43" s="22">
        <f t="shared" si="3"/>
        <v>25.344595792650665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>
        <f>VLOOKUP(A43,'Données projet'!$A$61:$I$81,2,0)</f>
        <v>225</v>
      </c>
      <c r="AG43" s="12">
        <f>VLOOKUP(A43,'Données projet'!$A$61:$I$81,9,0)</f>
        <v>11</v>
      </c>
      <c r="AH43" s="12">
        <f t="array" ref="AH43">INDEX(AG:AG,MIN(IF(ISNUMBER(AG43:AG239),ROW(AG43:AG239),"")))</f>
        <v>11</v>
      </c>
      <c r="AI43" s="13">
        <f>IF('Données projet'!$A$62&gt;35,AI42+AH43-AQ42,IF(A43&lt;'Données projet'!$A$62,$AF$205^A43,IF(A43='Données projet'!$A$62,'Données projet'!$B$62,AI42+AH43-AQ42)))</f>
        <v>225</v>
      </c>
      <c r="AJ43" s="13">
        <f>AI43*VLOOKUP('Données projet'!$B$10,Paramètres!$A$1:$I$89,3,0)*VLOOKUP('Données projet'!$B$10,Paramètres!$A$1:$I$89,5,0)</f>
        <v>189.54000000000002</v>
      </c>
      <c r="AK43" s="13">
        <f t="shared" si="35"/>
        <v>47.438239039488813</v>
      </c>
      <c r="AL43" s="20">
        <f t="shared" si="4"/>
        <v>412.73709966044299</v>
      </c>
      <c r="AM43" s="59">
        <f t="shared" si="5"/>
        <v>706.07043299377631</v>
      </c>
      <c r="AN43" s="59">
        <f ca="1">AVERAGE(OFFSET($AM$3,0,0,'Données projet'!$E$10+1,1))-AVERAGE(OFFSET($H$3,0,0,'Données projet'!$E$10+1,1))</f>
        <v>382.67703499770795</v>
      </c>
      <c r="AO43" s="59">
        <f t="shared" si="36"/>
        <v>237.98926636458219</v>
      </c>
      <c r="AP43" s="15">
        <f>IF(ISNA(VLOOKUP(A43,'Données projet'!$A$61:$I$81,3,0)),0,VLOOKUP(A43,'Données projet'!$A$61:$I$81,3,0))</f>
        <v>3</v>
      </c>
      <c r="AQ43" s="15">
        <f>IF(ISNA(VLOOKUP(A43,'Données projet'!$A$61:$I$81,4,0)),0,VLOOKUP(A43,'Données projet'!$A$61:$I$81,4,0))</f>
        <v>56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0</v>
      </c>
      <c r="AV43" s="21">
        <f>EXP(-LN(2)/25)*AV42+(1-EXP(-LN(2)/25))/(LN(2)/25)*Calculateur!AQ43*Calculateur!AS43*VLOOKUP('Données projet'!$B$10,Paramètres!$A$1:$I$89,3,0)*0.475*44/12</f>
        <v>0</v>
      </c>
      <c r="AW43" s="21">
        <f>EXP(-LN(2)/2)*AW42+(1-EXP(-LN(2)/2))/(LN(2)/2)*AQ43*AT43*VLOOKUP('Données projet'!$B$10,Paramètres!$A$1:$I$89,3,0)*0.475*44/12</f>
        <v>0</v>
      </c>
      <c r="AX43" s="21">
        <f t="shared" si="6"/>
        <v>0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25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22.385999999999989</v>
      </c>
      <c r="D44" s="11">
        <f t="shared" si="32"/>
        <v>7.1844131608438397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228.26283843458395</v>
      </c>
      <c r="H44" s="67">
        <f t="shared" si="1"/>
        <v>344.83513625513632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11.049999999999992</v>
      </c>
      <c r="N44" s="13">
        <f>IF('Données projet'!$A$36&gt;35,N43+M44-V43,IF(A44&lt;'Données projet'!$A$36,$K$205^A44,IF(A44='Données projet'!$A$36,'Données projet'!$B$36,N43+M44-V43)))</f>
        <v>310.75000000000017</v>
      </c>
      <c r="O44" s="13">
        <f>N44*VLOOKUP('Données projet'!$B$9,Paramètres!$A$1:$I$89,3,0)*VLOOKUP('Données projet'!$B$9,Paramètres!$A$1:$I$89,5,0)</f>
        <v>185.8285000000001</v>
      </c>
      <c r="P44" s="13">
        <f t="shared" si="33"/>
        <v>46.616505227631968</v>
      </c>
      <c r="Q44" s="20">
        <f t="shared" si="53"/>
        <v>404.84171743812584</v>
      </c>
      <c r="R44" s="59">
        <f t="shared" si="0"/>
        <v>698.17505077145915</v>
      </c>
      <c r="S44" s="59">
        <f ca="1">AVERAGE(OFFSET($R$3,0,0,'Données projet'!$E$9+1,1))-AVERAGE(OFFSET($H$3,0,0,'Données projet'!$E$9+1,1))</f>
        <v>252.28378247570731</v>
      </c>
      <c r="T44" s="59">
        <f t="shared" si="34"/>
        <v>263.50418595307343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23.611056518900355</v>
      </c>
      <c r="AA44" s="21">
        <f>EXP(-LN(2)/25)*AA43+(1-EXP(-LN(2)/25))/(LN(2)/25)*Calculateur!V44*Calculateur!X44*VLOOKUP('Données projet'!$B$9,Paramètres!$A$1:$I$89,3,0)*0.475*44/12</f>
        <v>0</v>
      </c>
      <c r="AB44" s="21">
        <f>EXP(-LN(2)/2)*AB43+(1-EXP(-LN(2)/2))/(LN(2)/2)*V44*Y44*VLOOKUP('Données projet'!$B$9,Paramètres!$A$1:$I$89,3,0)*0.475*44/12</f>
        <v>0.89185974225911002</v>
      </c>
      <c r="AC44" s="22">
        <f t="shared" si="3"/>
        <v>24.502916261159466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11.2</v>
      </c>
      <c r="AI44" s="13">
        <f>IF('Données projet'!$A$62&gt;35,AI43+AH44-AQ43,IF(A44&lt;'Données projet'!$A$62,$AF$205^A44,IF(A44='Données projet'!$A$62,'Données projet'!$B$62,AI43+AH44-AQ43)))</f>
        <v>180.2</v>
      </c>
      <c r="AJ44" s="13">
        <f>AI44*VLOOKUP('Données projet'!$B$10,Paramètres!$A$1:$I$89,3,0)*VLOOKUP('Données projet'!$B$10,Paramètres!$A$1:$I$89,5,0)</f>
        <v>151.80048000000002</v>
      </c>
      <c r="AK44" s="13">
        <f t="shared" si="35"/>
        <v>38.987466592941892</v>
      </c>
      <c r="AL44" s="20">
        <f t="shared" si="4"/>
        <v>332.28900698270718</v>
      </c>
      <c r="AM44" s="59">
        <f t="shared" si="5"/>
        <v>625.62234031604044</v>
      </c>
      <c r="AN44" s="59">
        <f ca="1">AVERAGE(OFFSET($AM$3,0,0,'Données projet'!$E$10+1,1))-AVERAGE(OFFSET($H$3,0,0,'Données projet'!$E$10+1,1))</f>
        <v>382.67703499770795</v>
      </c>
      <c r="AO44" s="59">
        <f t="shared" si="36"/>
        <v>237.98926636458219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0</v>
      </c>
      <c r="AV44" s="21">
        <f>EXP(-LN(2)/25)*AV43+(1-EXP(-LN(2)/25))/(LN(2)/25)*Calculateur!AQ44*Calculateur!AS44*VLOOKUP('Données projet'!$B$10,Paramètres!$A$1:$I$89,3,0)*0.475*44/12</f>
        <v>0</v>
      </c>
      <c r="AW44" s="21">
        <f>EXP(-LN(2)/2)*AW43+(1-EXP(-LN(2)/2))/(LN(2)/2)*AQ44*AT44*VLOOKUP('Données projet'!$B$10,Paramètres!$A$1:$I$89,3,0)*0.475*44/12</f>
        <v>0</v>
      </c>
      <c r="AX44" s="21">
        <f t="shared" si="6"/>
        <v>0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25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22.931999999999988</v>
      </c>
      <c r="D45" s="11">
        <f t="shared" si="32"/>
        <v>7.3390282083215048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233.67109494142906</v>
      </c>
      <c r="H45" s="67">
        <f t="shared" si="1"/>
        <v>346.05537412949326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11.049999999999992</v>
      </c>
      <c r="N45" s="13">
        <f>IF('Données projet'!$A$36&gt;35,N44+M45-V44,IF(A45&lt;'Données projet'!$A$36,$K$205^A45,IF(A45='Données projet'!$A$36,'Données projet'!$B$36,N44+M45-V44)))</f>
        <v>321.80000000000018</v>
      </c>
      <c r="O45" s="13">
        <f>N45*VLOOKUP('Données projet'!$B$9,Paramètres!$A$1:$I$89,3,0)*VLOOKUP('Données projet'!$B$9,Paramètres!$A$1:$I$89,5,0)</f>
        <v>192.43640000000011</v>
      </c>
      <c r="P45" s="13">
        <f t="shared" si="33"/>
        <v>48.07820620284339</v>
      </c>
      <c r="Q45" s="20">
        <f t="shared" si="53"/>
        <v>418.89627246995241</v>
      </c>
      <c r="R45" s="59">
        <f t="shared" si="0"/>
        <v>712.22960580328572</v>
      </c>
      <c r="S45" s="59">
        <f ca="1">AVERAGE(OFFSET($R$3,0,0,'Données projet'!$E$9+1,1))-AVERAGE(OFFSET($H$3,0,0,'Données projet'!$E$9+1,1))</f>
        <v>252.28378247570731</v>
      </c>
      <c r="T45" s="59">
        <f t="shared" si="34"/>
        <v>263.50418595307343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23.148058101887184</v>
      </c>
      <c r="AA45" s="21">
        <f>EXP(-LN(2)/25)*AA44+(1-EXP(-LN(2)/25))/(LN(2)/25)*Calculateur!V45*Calculateur!X45*VLOOKUP('Données projet'!$B$9,Paramètres!$A$1:$I$89,3,0)*0.475*44/12</f>
        <v>0</v>
      </c>
      <c r="AB45" s="21">
        <f>EXP(-LN(2)/2)*AB44+(1-EXP(-LN(2)/2))/(LN(2)/2)*V45*Y45*VLOOKUP('Données projet'!$B$9,Paramètres!$A$1:$I$89,3,0)*0.475*44/12</f>
        <v>0.63064007161870328</v>
      </c>
      <c r="AC45" s="22">
        <f t="shared" si="3"/>
        <v>23.778698173505887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11.2</v>
      </c>
      <c r="AI45" s="13">
        <f>IF('Données projet'!$A$62&gt;35,AI44+AH45-AQ44,IF(A45&lt;'Données projet'!$A$62,$AF$205^A45,IF(A45='Données projet'!$A$62,'Données projet'!$B$62,AI44+AH45-AQ44)))</f>
        <v>191.39999999999998</v>
      </c>
      <c r="AJ45" s="13">
        <f>AI45*VLOOKUP('Données projet'!$B$10,Paramètres!$A$1:$I$89,3,0)*VLOOKUP('Données projet'!$B$10,Paramètres!$A$1:$I$89,5,0)</f>
        <v>161.23535999999999</v>
      </c>
      <c r="AK45" s="13">
        <f t="shared" si="35"/>
        <v>41.121029451505414</v>
      </c>
      <c r="AL45" s="20">
        <f t="shared" si="4"/>
        <v>352.43737829470524</v>
      </c>
      <c r="AM45" s="59">
        <f t="shared" si="5"/>
        <v>645.7707116280385</v>
      </c>
      <c r="AN45" s="59">
        <f ca="1">AVERAGE(OFFSET($AM$3,0,0,'Données projet'!$E$10+1,1))-AVERAGE(OFFSET($H$3,0,0,'Données projet'!$E$10+1,1))</f>
        <v>382.67703499770795</v>
      </c>
      <c r="AO45" s="59">
        <f t="shared" si="36"/>
        <v>237.98926636458219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0</v>
      </c>
      <c r="AV45" s="21">
        <f>EXP(-LN(2)/25)*AV44+(1-EXP(-LN(2)/25))/(LN(2)/25)*Calculateur!AQ45*Calculateur!AS45*VLOOKUP('Données projet'!$B$10,Paramètres!$A$1:$I$89,3,0)*0.475*44/12</f>
        <v>0</v>
      </c>
      <c r="AW45" s="21">
        <f>EXP(-LN(2)/2)*AW44+(1-EXP(-LN(2)/2))/(LN(2)/2)*AQ45*AT45*VLOOKUP('Données projet'!$B$10,Paramètres!$A$1:$I$89,3,0)*0.475*44/12</f>
        <v>0</v>
      </c>
      <c r="AX45" s="21">
        <f t="shared" si="6"/>
        <v>0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25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23.477999999999987</v>
      </c>
      <c r="D46" s="11">
        <f t="shared" si="32"/>
        <v>7.4932153017418166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239.07604794327008</v>
      </c>
      <c r="H46" s="67">
        <f t="shared" si="1"/>
        <v>347.27486665053362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11.049999999999992</v>
      </c>
      <c r="N46" s="13">
        <f>IF('Données projet'!$A$36&gt;35,N45+M46-V45,IF(A46&lt;'Données projet'!$A$36,$K$205^A46,IF(A46='Données projet'!$A$36,'Données projet'!$B$36,N45+M46-V45)))</f>
        <v>332.85000000000019</v>
      </c>
      <c r="O46" s="13">
        <f>N46*VLOOKUP('Données projet'!$B$9,Paramètres!$A$1:$I$89,3,0)*VLOOKUP('Données projet'!$B$9,Paramètres!$A$1:$I$89,5,0)</f>
        <v>199.04430000000013</v>
      </c>
      <c r="P46" s="13">
        <f t="shared" si="33"/>
        <v>49.534075275146158</v>
      </c>
      <c r="Q46" s="20">
        <f t="shared" si="53"/>
        <v>432.94067027087976</v>
      </c>
      <c r="R46" s="59">
        <f t="shared" si="0"/>
        <v>726.27400360421302</v>
      </c>
      <c r="S46" s="59">
        <f ca="1">AVERAGE(OFFSET($R$3,0,0,'Données projet'!$E$9+1,1))-AVERAGE(OFFSET($H$3,0,0,'Données projet'!$E$9+1,1))</f>
        <v>252.28378247570731</v>
      </c>
      <c r="T46" s="59">
        <f t="shared" si="34"/>
        <v>263.50418595307343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22.694138801430491</v>
      </c>
      <c r="AA46" s="21">
        <f>EXP(-LN(2)/25)*AA45+(1-EXP(-LN(2)/25))/(LN(2)/25)*Calculateur!V46*Calculateur!X46*VLOOKUP('Données projet'!$B$9,Paramètres!$A$1:$I$89,3,0)*0.475*44/12</f>
        <v>0</v>
      </c>
      <c r="AB46" s="21">
        <f>EXP(-LN(2)/2)*AB45+(1-EXP(-LN(2)/2))/(LN(2)/2)*V46*Y46*VLOOKUP('Données projet'!$B$9,Paramètres!$A$1:$I$89,3,0)*0.475*44/12</f>
        <v>0.44592987112955512</v>
      </c>
      <c r="AC46" s="22">
        <f t="shared" si="3"/>
        <v>23.140068672560044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11.2</v>
      </c>
      <c r="AI46" s="13">
        <f>IF('Données projet'!$A$62&gt;35,AI45+AH46-AQ45,IF(A46&lt;'Données projet'!$A$62,$AF$205^A46,IF(A46='Données projet'!$A$62,'Données projet'!$B$62,AI45+AH46-AQ45)))</f>
        <v>202.59999999999997</v>
      </c>
      <c r="AJ46" s="13">
        <f>AI46*VLOOKUP('Données projet'!$B$10,Paramètres!$A$1:$I$89,3,0)*VLOOKUP('Données projet'!$B$10,Paramètres!$A$1:$I$89,5,0)</f>
        <v>170.67023999999998</v>
      </c>
      <c r="AK46" s="13">
        <f t="shared" si="35"/>
        <v>43.240100655403644</v>
      </c>
      <c r="AL46" s="20">
        <f t="shared" si="4"/>
        <v>372.56050997482794</v>
      </c>
      <c r="AM46" s="59">
        <f t="shared" si="5"/>
        <v>665.89384330816119</v>
      </c>
      <c r="AN46" s="59">
        <f ca="1">AVERAGE(OFFSET($AM$3,0,0,'Données projet'!$E$10+1,1))-AVERAGE(OFFSET($H$3,0,0,'Données projet'!$E$10+1,1))</f>
        <v>382.67703499770795</v>
      </c>
      <c r="AO46" s="59">
        <f t="shared" si="36"/>
        <v>237.98926636458219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0</v>
      </c>
      <c r="AV46" s="21">
        <f>EXP(-LN(2)/25)*AV45+(1-EXP(-LN(2)/25))/(LN(2)/25)*Calculateur!AQ46*Calculateur!AS46*VLOOKUP('Données projet'!$B$10,Paramètres!$A$1:$I$89,3,0)*0.475*44/12</f>
        <v>0</v>
      </c>
      <c r="AW46" s="21">
        <f>EXP(-LN(2)/2)*AW45+(1-EXP(-LN(2)/2))/(LN(2)/2)*AQ46*AT46*VLOOKUP('Données projet'!$B$10,Paramètres!$A$1:$I$89,3,0)*0.475*44/12</f>
        <v>0</v>
      </c>
      <c r="AX46" s="21">
        <f t="shared" si="6"/>
        <v>0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25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24.023999999999987</v>
      </c>
      <c r="D47" s="11">
        <f t="shared" si="32"/>
        <v>7.6469855389835546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244.47778310794311</v>
      </c>
      <c r="H47" s="67">
        <f t="shared" si="1"/>
        <v>348.49363314706295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11.049999999999992</v>
      </c>
      <c r="N47" s="13">
        <f>IF('Données projet'!$A$36&gt;35,N46+M47-V46,IF(A47&lt;'Données projet'!$A$36,$K$205^A47,IF(A47='Données projet'!$A$36,'Données projet'!$B$36,N46+M47-V46)))</f>
        <v>343.9000000000002</v>
      </c>
      <c r="O47" s="13">
        <f>N47*VLOOKUP('Données projet'!$B$9,Paramètres!$A$1:$I$89,3,0)*VLOOKUP('Données projet'!$B$9,Paramètres!$A$1:$I$89,5,0)</f>
        <v>205.65220000000014</v>
      </c>
      <c r="P47" s="13">
        <f t="shared" si="33"/>
        <v>50.984328252291228</v>
      </c>
      <c r="Q47" s="20">
        <f t="shared" si="53"/>
        <v>446.97528670607409</v>
      </c>
      <c r="R47" s="59">
        <f t="shared" si="0"/>
        <v>740.3086200394074</v>
      </c>
      <c r="S47" s="59">
        <f ca="1">AVERAGE(OFFSET($R$3,0,0,'Données projet'!$E$9+1,1))-AVERAGE(OFFSET($H$3,0,0,'Données projet'!$E$9+1,1))</f>
        <v>252.28378247570731</v>
      </c>
      <c r="T47" s="59">
        <f t="shared" si="34"/>
        <v>263.50418595307343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22.249120581592319</v>
      </c>
      <c r="AA47" s="21">
        <f>EXP(-LN(2)/25)*AA46+(1-EXP(-LN(2)/25))/(LN(2)/25)*Calculateur!V47*Calculateur!X47*VLOOKUP('Données projet'!$B$9,Paramètres!$A$1:$I$89,3,0)*0.475*44/12</f>
        <v>0</v>
      </c>
      <c r="AB47" s="21">
        <f>EXP(-LN(2)/2)*AB46+(1-EXP(-LN(2)/2))/(LN(2)/2)*V47*Y47*VLOOKUP('Données projet'!$B$9,Paramètres!$A$1:$I$89,3,0)*0.475*44/12</f>
        <v>0.3153200358093517</v>
      </c>
      <c r="AC47" s="22">
        <f t="shared" si="3"/>
        <v>22.564440617401669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11.2</v>
      </c>
      <c r="AI47" s="13">
        <f>IF('Données projet'!$A$62&gt;35,AI46+AH47-AQ46,IF(A47&lt;'Données projet'!$A$62,$AF$205^A47,IF(A47='Données projet'!$A$62,'Données projet'!$B$62,AI46+AH47-AQ46)))</f>
        <v>213.79999999999995</v>
      </c>
      <c r="AJ47" s="13">
        <f>AI47*VLOOKUP('Données projet'!$B$10,Paramètres!$A$1:$I$89,3,0)*VLOOKUP('Données projet'!$B$10,Paramètres!$A$1:$I$89,5,0)</f>
        <v>180.10511999999997</v>
      </c>
      <c r="AK47" s="13">
        <f t="shared" si="35"/>
        <v>45.345572635110635</v>
      </c>
      <c r="AL47" s="20">
        <f t="shared" si="4"/>
        <v>392.65995633948432</v>
      </c>
      <c r="AM47" s="59">
        <f t="shared" si="5"/>
        <v>685.99328967281758</v>
      </c>
      <c r="AN47" s="59">
        <f ca="1">AVERAGE(OFFSET($AM$3,0,0,'Données projet'!$E$10+1,1))-AVERAGE(OFFSET($H$3,0,0,'Données projet'!$E$10+1,1))</f>
        <v>382.67703499770795</v>
      </c>
      <c r="AO47" s="59">
        <f t="shared" si="36"/>
        <v>237.98926636458219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0</v>
      </c>
      <c r="AV47" s="21">
        <f>EXP(-LN(2)/25)*AV46+(1-EXP(-LN(2)/25))/(LN(2)/25)*Calculateur!AQ47*Calculateur!AS47*VLOOKUP('Données projet'!$B$10,Paramètres!$A$1:$I$89,3,0)*0.475*44/12</f>
        <v>0</v>
      </c>
      <c r="AW47" s="21">
        <f>EXP(-LN(2)/2)*AW46+(1-EXP(-LN(2)/2))/(LN(2)/2)*AQ47*AT47*VLOOKUP('Données projet'!$B$10,Paramètres!$A$1:$I$89,3,0)*0.475*44/12</f>
        <v>0</v>
      </c>
      <c r="AX47" s="21">
        <f t="shared" si="6"/>
        <v>0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25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24.569999999999986</v>
      </c>
      <c r="D48" s="11">
        <f t="shared" si="32"/>
        <v>7.8003494846849248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249.87638198704141</v>
      </c>
      <c r="H48" s="67">
        <f t="shared" si="1"/>
        <v>349.7116920191595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11.049999999999992</v>
      </c>
      <c r="N48" s="13">
        <f>IF('Données projet'!$A$36&gt;35,N47+M48-V47,IF(A48&lt;'Données projet'!$A$36,$K$205^A48,IF(A48='Données projet'!$A$36,'Données projet'!$B$36,N47+M48-V47)))</f>
        <v>354.95000000000022</v>
      </c>
      <c r="O48" s="13">
        <f>N48*VLOOKUP('Données projet'!$B$9,Paramètres!$A$1:$I$89,3,0)*VLOOKUP('Données projet'!$B$9,Paramètres!$A$1:$I$89,5,0)</f>
        <v>212.26010000000014</v>
      </c>
      <c r="P48" s="13">
        <f t="shared" si="33"/>
        <v>52.429166286213409</v>
      </c>
      <c r="Q48" s="20">
        <f t="shared" si="53"/>
        <v>461.00047211515522</v>
      </c>
      <c r="R48" s="59">
        <f t="shared" si="0"/>
        <v>754.33380544848853</v>
      </c>
      <c r="S48" s="59">
        <f ca="1">AVERAGE(OFFSET($R$3,0,0,'Données projet'!$E$9+1,1))-AVERAGE(OFFSET($H$3,0,0,'Données projet'!$E$9+1,1))</f>
        <v>252.28378247570731</v>
      </c>
      <c r="T48" s="59">
        <f t="shared" si="34"/>
        <v>263.50418595307343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21.81282889761086</v>
      </c>
      <c r="AA48" s="21">
        <f>EXP(-LN(2)/25)*AA47+(1-EXP(-LN(2)/25))/(LN(2)/25)*Calculateur!V48*Calculateur!X48*VLOOKUP('Données projet'!$B$9,Paramètres!$A$1:$I$89,3,0)*0.475*44/12</f>
        <v>0</v>
      </c>
      <c r="AB48" s="21">
        <f>EXP(-LN(2)/2)*AB47+(1-EXP(-LN(2)/2))/(LN(2)/2)*V48*Y48*VLOOKUP('Données projet'!$B$9,Paramètres!$A$1:$I$89,3,0)*0.475*44/12</f>
        <v>0.22296493556477759</v>
      </c>
      <c r="AC48" s="22">
        <f t="shared" si="3"/>
        <v>22.035793833175639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11.2</v>
      </c>
      <c r="AI48" s="13">
        <f>IF('Données projet'!$A$62&gt;35,AI47+AH48-AQ47,IF(A48&lt;'Données projet'!$A$62,$AF$205^A48,IF(A48='Données projet'!$A$62,'Données projet'!$B$62,AI47+AH48-AQ47)))</f>
        <v>224.99999999999994</v>
      </c>
      <c r="AJ48" s="13">
        <f>AI48*VLOOKUP('Données projet'!$B$10,Paramètres!$A$1:$I$89,3,0)*VLOOKUP('Données projet'!$B$10,Paramètres!$A$1:$I$89,5,0)</f>
        <v>189.53999999999996</v>
      </c>
      <c r="AK48" s="13">
        <f t="shared" si="35"/>
        <v>47.438239039488813</v>
      </c>
      <c r="AL48" s="20">
        <f t="shared" si="4"/>
        <v>412.73709966044294</v>
      </c>
      <c r="AM48" s="59">
        <f t="shared" si="5"/>
        <v>706.07043299377619</v>
      </c>
      <c r="AN48" s="59">
        <f ca="1">AVERAGE(OFFSET($AM$3,0,0,'Données projet'!$E$10+1,1))-AVERAGE(OFFSET($H$3,0,0,'Données projet'!$E$10+1,1))</f>
        <v>382.67703499770795</v>
      </c>
      <c r="AO48" s="59">
        <f t="shared" si="36"/>
        <v>237.98926636458219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0</v>
      </c>
      <c r="AV48" s="21">
        <f>EXP(-LN(2)/25)*AV47+(1-EXP(-LN(2)/25))/(LN(2)/25)*Calculateur!AQ48*Calculateur!AS48*VLOOKUP('Données projet'!$B$10,Paramètres!$A$1:$I$89,3,0)*0.475*44/12</f>
        <v>0</v>
      </c>
      <c r="AW48" s="21">
        <f>EXP(-LN(2)/2)*AW47+(1-EXP(-LN(2)/2))/(LN(2)/2)*AQ48*AT48*VLOOKUP('Données projet'!$B$10,Paramètres!$A$1:$I$89,3,0)*0.475*44/12</f>
        <v>0</v>
      </c>
      <c r="AX48" s="21">
        <f t="shared" si="6"/>
        <v>0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25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25.115999999999985</v>
      </c>
      <c r="D49" s="11">
        <f t="shared" si="32"/>
        <v>7.9533172071366991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255.27192230070423</v>
      </c>
      <c r="H49" s="67">
        <f t="shared" si="1"/>
        <v>350.92906080242972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>
        <f>VLOOKUP(A49,'Données projet'!$A$35:$I$55,2,0)</f>
        <v>366</v>
      </c>
      <c r="L49" s="12">
        <f>VLOOKUP(A49,'Données projet'!$A$35:$I$55,9,0)</f>
        <v>11.049999999999992</v>
      </c>
      <c r="M49" s="12">
        <f t="array" ref="M49">INDEX(L:L,MIN(IF(ISNUMBER(L49:L245),ROW(L49:L245),"")))</f>
        <v>11.049999999999992</v>
      </c>
      <c r="N49" s="13">
        <f>IF('Données projet'!$A$36&gt;35,N48+M49-V48,IF(A49&lt;'Données projet'!$A$36,$K$205^A49,IF(A49='Données projet'!$A$36,'Données projet'!$B$36,N48+M49-V48)))</f>
        <v>366.00000000000023</v>
      </c>
      <c r="O49" s="13">
        <f>N49*VLOOKUP('Données projet'!$B$9,Paramètres!$A$1:$I$89,3,0)*VLOOKUP('Données projet'!$B$9,Paramètres!$A$1:$I$89,5,0)</f>
        <v>218.86800000000014</v>
      </c>
      <c r="P49" s="13">
        <f t="shared" si="33"/>
        <v>53.868777293257544</v>
      </c>
      <c r="Q49" s="20">
        <f t="shared" si="53"/>
        <v>475.01655378575714</v>
      </c>
      <c r="R49" s="59">
        <f t="shared" si="0"/>
        <v>768.34988711909045</v>
      </c>
      <c r="S49" s="59">
        <f ca="1">AVERAGE(OFFSET($R$3,0,0,'Données projet'!$E$9+1,1))-AVERAGE(OFFSET($H$3,0,0,'Données projet'!$E$9+1,1))</f>
        <v>252.28378247570731</v>
      </c>
      <c r="T49" s="59">
        <f t="shared" si="34"/>
        <v>263.50418595307343</v>
      </c>
      <c r="U49" s="15">
        <f>IF(ISNA(VLOOKUP(A49,'Données projet'!$A$35:$I$55,3,0)),0,VLOOKUP(A49,'Données projet'!$A$35:$I$55,3,0))</f>
        <v>8</v>
      </c>
      <c r="V49" s="15">
        <f>IF(ISNA(VLOOKUP(A49,'Données projet'!$A$35:$I$55,4,0)),0,VLOOKUP(A49,'Données projet'!$A$35:$I$55,4,0))</f>
        <v>21.3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21.385092627440628</v>
      </c>
      <c r="AA49" s="21">
        <f>EXP(-LN(2)/25)*AA48+(1-EXP(-LN(2)/25))/(LN(2)/25)*Calculateur!V49*Calculateur!X49*VLOOKUP('Données projet'!$B$9,Paramètres!$A$1:$I$89,3,0)*0.475*44/12</f>
        <v>0</v>
      </c>
      <c r="AB49" s="21">
        <f>EXP(-LN(2)/2)*AB48+(1-EXP(-LN(2)/2))/(LN(2)/2)*V49*Y49*VLOOKUP('Données projet'!$B$9,Paramètres!$A$1:$I$89,3,0)*0.475*44/12</f>
        <v>0.15766001790467588</v>
      </c>
      <c r="AC49" s="22">
        <f t="shared" si="3"/>
        <v>21.542752645345303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11.2</v>
      </c>
      <c r="AI49" s="13">
        <f>IF('Données projet'!$A$62&gt;35,AI48+AH49-AQ48,IF(A49&lt;'Données projet'!$A$62,$AF$205^A49,IF(A49='Données projet'!$A$62,'Données projet'!$B$62,AI48+AH49-AQ48)))</f>
        <v>236.19999999999993</v>
      </c>
      <c r="AJ49" s="13">
        <f>AI49*VLOOKUP('Données projet'!$B$10,Paramètres!$A$1:$I$89,3,0)*VLOOKUP('Données projet'!$B$10,Paramètres!$A$1:$I$89,5,0)</f>
        <v>198.97487999999996</v>
      </c>
      <c r="AK49" s="13">
        <f t="shared" si="35"/>
        <v>49.518810041794701</v>
      </c>
      <c r="AL49" s="20">
        <f t="shared" si="4"/>
        <v>432.7931768227923</v>
      </c>
      <c r="AM49" s="59">
        <f t="shared" si="5"/>
        <v>726.12651015612562</v>
      </c>
      <c r="AN49" s="59">
        <f ca="1">AVERAGE(OFFSET($AM$3,0,0,'Données projet'!$E$10+1,1))-AVERAGE(OFFSET($H$3,0,0,'Données projet'!$E$10+1,1))</f>
        <v>382.67703499770795</v>
      </c>
      <c r="AO49" s="59">
        <f t="shared" si="36"/>
        <v>237.98926636458219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0</v>
      </c>
      <c r="AV49" s="21">
        <f>EXP(-LN(2)/25)*AV48+(1-EXP(-LN(2)/25))/(LN(2)/25)*Calculateur!AQ49*Calculateur!AS49*VLOOKUP('Données projet'!$B$10,Paramètres!$A$1:$I$89,3,0)*0.475*44/12</f>
        <v>0</v>
      </c>
      <c r="AW49" s="21">
        <f>EXP(-LN(2)/2)*AW48+(1-EXP(-LN(2)/2))/(LN(2)/2)*AQ49*AT49*VLOOKUP('Données projet'!$B$10,Paramètres!$A$1:$I$89,3,0)*0.475*44/12</f>
        <v>0</v>
      </c>
      <c r="AX49" s="21">
        <f t="shared" si="6"/>
        <v>0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25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25.661999999999985</v>
      </c>
      <c r="D50" s="11">
        <f t="shared" si="32"/>
        <v>8.1058983118768051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260.66447819694366</v>
      </c>
      <c r="H50" s="67">
        <f t="shared" si="1"/>
        <v>352.14575622651876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7.2999999999999972</v>
      </c>
      <c r="N50" s="13">
        <f>IF('Données projet'!$A$36&gt;35,N49+M50-V49,IF(A50&lt;'Données projet'!$A$36,$K$205^A50,IF(A50='Données projet'!$A$36,'Données projet'!$B$36,N49+M50-V49)))</f>
        <v>352.00000000000023</v>
      </c>
      <c r="O50" s="13">
        <f>N50*VLOOKUP('Données projet'!$B$9,Paramètres!$A$1:$I$89,3,0)*VLOOKUP('Données projet'!$B$9,Paramètres!$A$1:$I$89,5,0)</f>
        <v>210.49600000000015</v>
      </c>
      <c r="P50" s="13">
        <f t="shared" si="33"/>
        <v>52.043959291168512</v>
      </c>
      <c r="Q50" s="20">
        <f t="shared" si="53"/>
        <v>457.25709576545205</v>
      </c>
      <c r="R50" s="59">
        <f t="shared" si="0"/>
        <v>750.59042909878531</v>
      </c>
      <c r="S50" s="59">
        <f ca="1">AVERAGE(OFFSET($R$3,0,0,'Données projet'!$E$9+1,1))-AVERAGE(OFFSET($H$3,0,0,'Données projet'!$E$9+1,1))</f>
        <v>252.28378247570731</v>
      </c>
      <c r="T50" s="59">
        <f t="shared" si="34"/>
        <v>263.50418595307343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20.96574400463507</v>
      </c>
      <c r="AA50" s="21">
        <f>EXP(-LN(2)/25)*AA49+(1-EXP(-LN(2)/25))/(LN(2)/25)*Calculateur!V50*Calculateur!X50*VLOOKUP('Données projet'!$B$9,Paramètres!$A$1:$I$89,3,0)*0.475*44/12</f>
        <v>0</v>
      </c>
      <c r="AB50" s="21">
        <f>EXP(-LN(2)/2)*AB49+(1-EXP(-LN(2)/2))/(LN(2)/2)*V50*Y50*VLOOKUP('Données projet'!$B$9,Paramètres!$A$1:$I$89,3,0)*0.475*44/12</f>
        <v>0.11148246778238882</v>
      </c>
      <c r="AC50" s="22">
        <f t="shared" si="3"/>
        <v>21.077226472417458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11.2</v>
      </c>
      <c r="AI50" s="13">
        <f>IF('Données projet'!$A$62&gt;35,AI49+AH50-AQ49,IF(A50&lt;'Données projet'!$A$62,$AF$205^A50,IF(A50='Données projet'!$A$62,'Données projet'!$B$62,AI49+AH50-AQ49)))</f>
        <v>247.39999999999992</v>
      </c>
      <c r="AJ50" s="13">
        <f>AI50*VLOOKUP('Données projet'!$B$10,Paramètres!$A$1:$I$89,3,0)*VLOOKUP('Données projet'!$B$10,Paramètres!$A$1:$I$89,5,0)</f>
        <v>208.40975999999998</v>
      </c>
      <c r="AK50" s="13">
        <f t="shared" si="35"/>
        <v>51.587924660362781</v>
      </c>
      <c r="AL50" s="20">
        <f t="shared" si="4"/>
        <v>452.82930078346516</v>
      </c>
      <c r="AM50" s="59">
        <f t="shared" si="5"/>
        <v>746.16263411679847</v>
      </c>
      <c r="AN50" s="59">
        <f ca="1">AVERAGE(OFFSET($AM$3,0,0,'Données projet'!$E$10+1,1))-AVERAGE(OFFSET($H$3,0,0,'Données projet'!$E$10+1,1))</f>
        <v>382.67703499770795</v>
      </c>
      <c r="AO50" s="59">
        <f t="shared" si="36"/>
        <v>237.98926636458219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0</v>
      </c>
      <c r="AV50" s="21">
        <f>EXP(-LN(2)/25)*AV49+(1-EXP(-LN(2)/25))/(LN(2)/25)*Calculateur!AQ50*Calculateur!AS50*VLOOKUP('Données projet'!$B$10,Paramètres!$A$1:$I$89,3,0)*0.475*44/12</f>
        <v>0</v>
      </c>
      <c r="AW50" s="21">
        <f>EXP(-LN(2)/2)*AW49+(1-EXP(-LN(2)/2))/(LN(2)/2)*AQ50*AT50*VLOOKUP('Données projet'!$B$10,Paramètres!$A$1:$I$89,3,0)*0.475*44/12</f>
        <v>0</v>
      </c>
      <c r="AX50" s="21">
        <f t="shared" si="6"/>
        <v>0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25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26.207999999999984</v>
      </c>
      <c r="D51" s="11">
        <f t="shared" si="32"/>
        <v>8.2581019723450915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266.05412048827776</v>
      </c>
      <c r="H51" s="67">
        <f t="shared" si="1"/>
        <v>353.361794268501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7.2999999999999972</v>
      </c>
      <c r="N51" s="13">
        <f>IF('Données projet'!$A$36&gt;35,N50+M51-V50,IF(A51&lt;'Données projet'!$A$36,$K$205^A51,IF(A51='Données projet'!$A$36,'Données projet'!$B$36,N50+M51-V50)))</f>
        <v>359.30000000000024</v>
      </c>
      <c r="O51" s="13">
        <f>N51*VLOOKUP('Données projet'!$B$9,Paramètres!$A$1:$I$89,3,0)*VLOOKUP('Données projet'!$B$9,Paramètres!$A$1:$I$89,5,0)</f>
        <v>214.86140000000015</v>
      </c>
      <c r="P51" s="13">
        <f t="shared" si="33"/>
        <v>52.996504799916742</v>
      </c>
      <c r="Q51" s="20">
        <f t="shared" si="53"/>
        <v>466.51918419318849</v>
      </c>
      <c r="R51" s="59">
        <f t="shared" si="0"/>
        <v>759.85251752652175</v>
      </c>
      <c r="S51" s="59">
        <f ca="1">AVERAGE(OFFSET($R$3,0,0,'Données projet'!$E$9+1,1))-AVERAGE(OFFSET($H$3,0,0,'Données projet'!$E$9+1,1))</f>
        <v>252.28378247570731</v>
      </c>
      <c r="T51" s="59">
        <f t="shared" si="34"/>
        <v>263.50418595307343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20.554618552545325</v>
      </c>
      <c r="AA51" s="21">
        <f>EXP(-LN(2)/25)*AA50+(1-EXP(-LN(2)/25))/(LN(2)/25)*Calculateur!V51*Calculateur!X51*VLOOKUP('Données projet'!$B$9,Paramètres!$A$1:$I$89,3,0)*0.475*44/12</f>
        <v>0</v>
      </c>
      <c r="AB51" s="21">
        <f>EXP(-LN(2)/2)*AB50+(1-EXP(-LN(2)/2))/(LN(2)/2)*V51*Y51*VLOOKUP('Données projet'!$B$9,Paramètres!$A$1:$I$89,3,0)*0.475*44/12</f>
        <v>7.8830008952337952E-2</v>
      </c>
      <c r="AC51" s="22">
        <f t="shared" si="3"/>
        <v>20.633448561497662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11.2</v>
      </c>
      <c r="AI51" s="13">
        <f>IF('Données projet'!$A$62&gt;35,AI50+AH51-AQ50,IF(A51&lt;'Données projet'!$A$62,$AF$205^A51,IF(A51='Données projet'!$A$62,'Données projet'!$B$62,AI50+AH51-AQ50)))</f>
        <v>258.59999999999991</v>
      </c>
      <c r="AJ51" s="13">
        <f>AI51*VLOOKUP('Données projet'!$B$10,Paramètres!$A$1:$I$89,3,0)*VLOOKUP('Données projet'!$B$10,Paramètres!$A$1:$I$89,5,0)</f>
        <v>217.84463999999994</v>
      </c>
      <c r="AK51" s="13">
        <f t="shared" si="35"/>
        <v>53.64616078516395</v>
      </c>
      <c r="AL51" s="20">
        <f t="shared" si="4"/>
        <v>472.8464780341605</v>
      </c>
      <c r="AM51" s="59">
        <f t="shared" si="5"/>
        <v>766.17981136749381</v>
      </c>
      <c r="AN51" s="59">
        <f ca="1">AVERAGE(OFFSET($AM$3,0,0,'Données projet'!$E$10+1,1))-AVERAGE(OFFSET($H$3,0,0,'Données projet'!$E$10+1,1))</f>
        <v>382.67703499770795</v>
      </c>
      <c r="AO51" s="59">
        <f t="shared" si="36"/>
        <v>237.98926636458219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0</v>
      </c>
      <c r="AV51" s="21">
        <f>EXP(-LN(2)/25)*AV50+(1-EXP(-LN(2)/25))/(LN(2)/25)*Calculateur!AQ51*Calculateur!AS51*VLOOKUP('Données projet'!$B$10,Paramètres!$A$1:$I$89,3,0)*0.475*44/12</f>
        <v>0</v>
      </c>
      <c r="AW51" s="21">
        <f>EXP(-LN(2)/2)*AW50+(1-EXP(-LN(2)/2))/(LN(2)/2)*AQ51*AT51*VLOOKUP('Données projet'!$B$10,Paramètres!$A$1:$I$89,3,0)*0.475*44/12</f>
        <v>0</v>
      </c>
      <c r="AX51" s="21">
        <f t="shared" si="6"/>
        <v>0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25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26.753999999999984</v>
      </c>
      <c r="D52" s="11">
        <f t="shared" si="32"/>
        <v>8.4099369579114391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271.44091686808821</v>
      </c>
      <c r="H52" s="67">
        <f t="shared" si="1"/>
        <v>354.57719020169571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7.2999999999999972</v>
      </c>
      <c r="N52" s="13">
        <f>IF('Données projet'!$A$36&gt;35,N51+M52-V51,IF(A52&lt;'Données projet'!$A$36,$K$205^A52,IF(A52='Données projet'!$A$36,'Données projet'!$B$36,N51+M52-V51)))</f>
        <v>366.60000000000025</v>
      </c>
      <c r="O52" s="13">
        <f>N52*VLOOKUP('Données projet'!$B$9,Paramètres!$A$1:$I$89,3,0)*VLOOKUP('Données projet'!$B$9,Paramètres!$A$1:$I$89,5,0)</f>
        <v>219.22680000000014</v>
      </c>
      <c r="P52" s="13">
        <f t="shared" si="33"/>
        <v>53.946800101493466</v>
      </c>
      <c r="Q52" s="20">
        <f t="shared" si="53"/>
        <v>475.77735351010136</v>
      </c>
      <c r="R52" s="59">
        <f t="shared" si="0"/>
        <v>769.11068684343468</v>
      </c>
      <c r="S52" s="59">
        <f ca="1">AVERAGE(OFFSET($R$3,0,0,'Données projet'!$E$9+1,1))-AVERAGE(OFFSET($H$3,0,0,'Données projet'!$E$9+1,1))</f>
        <v>252.28378247570731</v>
      </c>
      <c r="T52" s="59">
        <f t="shared" si="34"/>
        <v>263.50418595307343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20.151555019809294</v>
      </c>
      <c r="AA52" s="21">
        <f>EXP(-LN(2)/25)*AA51+(1-EXP(-LN(2)/25))/(LN(2)/25)*Calculateur!V52*Calculateur!X52*VLOOKUP('Données projet'!$B$9,Paramètres!$A$1:$I$89,3,0)*0.475*44/12</f>
        <v>0</v>
      </c>
      <c r="AB52" s="21">
        <f>EXP(-LN(2)/2)*AB51+(1-EXP(-LN(2)/2))/(LN(2)/2)*V52*Y52*VLOOKUP('Données projet'!$B$9,Paramètres!$A$1:$I$89,3,0)*0.475*44/12</f>
        <v>5.5741233891194418E-2</v>
      </c>
      <c r="AC52" s="22">
        <f t="shared" si="3"/>
        <v>20.207296253700488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11.2</v>
      </c>
      <c r="AI52" s="13">
        <f>IF('Données projet'!$A$62&gt;35,AI51+AH52-AQ51,IF(A52&lt;'Données projet'!$A$62,$AF$205^A52,IF(A52='Données projet'!$A$62,'Données projet'!$B$62,AI51+AH52-AQ51)))</f>
        <v>269.7999999999999</v>
      </c>
      <c r="AJ52" s="13">
        <f>AI52*VLOOKUP('Données projet'!$B$10,Paramètres!$A$1:$I$89,3,0)*VLOOKUP('Données projet'!$B$10,Paramètres!$A$1:$I$89,5,0)</f>
        <v>227.27951999999993</v>
      </c>
      <c r="AK52" s="13">
        <f t="shared" si="35"/>
        <v>55.694043418351306</v>
      </c>
      <c r="AL52" s="20">
        <f t="shared" si="4"/>
        <v>492.84562295362849</v>
      </c>
      <c r="AM52" s="59">
        <f t="shared" si="5"/>
        <v>786.17895628696181</v>
      </c>
      <c r="AN52" s="59">
        <f ca="1">AVERAGE(OFFSET($AM$3,0,0,'Données projet'!$E$10+1,1))-AVERAGE(OFFSET($H$3,0,0,'Données projet'!$E$10+1,1))</f>
        <v>382.67703499770795</v>
      </c>
      <c r="AO52" s="59">
        <f t="shared" si="36"/>
        <v>237.98926636458219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0</v>
      </c>
      <c r="AV52" s="21">
        <f>EXP(-LN(2)/25)*AV51+(1-EXP(-LN(2)/25))/(LN(2)/25)*Calculateur!AQ52*Calculateur!AS52*VLOOKUP('Données projet'!$B$10,Paramètres!$A$1:$I$89,3,0)*0.475*44/12</f>
        <v>0</v>
      </c>
      <c r="AW52" s="21">
        <f>EXP(-LN(2)/2)*AW51+(1-EXP(-LN(2)/2))/(LN(2)/2)*AQ52*AT52*VLOOKUP('Données projet'!$B$10,Paramètres!$A$1:$I$89,3,0)*0.475*44/12</f>
        <v>0</v>
      </c>
      <c r="AX52" s="21">
        <f t="shared" si="6"/>
        <v>0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25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27.299999999999983</v>
      </c>
      <c r="D53" s="11">
        <f t="shared" si="32"/>
        <v>8.5614116595512399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276.82493210881648</v>
      </c>
      <c r="H53" s="67">
        <f t="shared" si="1"/>
        <v>355.79195864038502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7.2999999999999972</v>
      </c>
      <c r="N53" s="13">
        <f>IF('Données projet'!$A$36&gt;35,N52+M53-V52,IF(A53&lt;'Données projet'!$A$36,$K$205^A53,IF(A53='Données projet'!$A$36,'Données projet'!$B$36,N52+M53-V52)))</f>
        <v>373.90000000000026</v>
      </c>
      <c r="O53" s="13">
        <f>N53*VLOOKUP('Données projet'!$B$9,Paramètres!$A$1:$I$89,3,0)*VLOOKUP('Données projet'!$B$9,Paramètres!$A$1:$I$89,5,0)</f>
        <v>223.59220000000019</v>
      </c>
      <c r="P53" s="13">
        <f t="shared" si="33"/>
        <v>54.894895167980749</v>
      </c>
      <c r="Q53" s="20">
        <f t="shared" si="53"/>
        <v>485.03169075090017</v>
      </c>
      <c r="R53" s="59">
        <f t="shared" si="0"/>
        <v>778.36502408423348</v>
      </c>
      <c r="S53" s="59">
        <f ca="1">AVERAGE(OFFSET($R$3,0,0,'Données projet'!$E$9+1,1))-AVERAGE(OFFSET($H$3,0,0,'Données projet'!$E$9+1,1))</f>
        <v>252.28378247570731</v>
      </c>
      <c r="T53" s="59">
        <f t="shared" si="34"/>
        <v>263.50418595307343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19.756395317105738</v>
      </c>
      <c r="AA53" s="21">
        <f>EXP(-LN(2)/25)*AA52+(1-EXP(-LN(2)/25))/(LN(2)/25)*Calculateur!V53*Calculateur!X53*VLOOKUP('Données projet'!$B$9,Paramètres!$A$1:$I$89,3,0)*0.475*44/12</f>
        <v>0</v>
      </c>
      <c r="AB53" s="21">
        <f>EXP(-LN(2)/2)*AB52+(1-EXP(-LN(2)/2))/(LN(2)/2)*V53*Y53*VLOOKUP('Données projet'!$B$9,Paramètres!$A$1:$I$89,3,0)*0.475*44/12</f>
        <v>3.9415004476168983E-2</v>
      </c>
      <c r="AC53" s="22">
        <f t="shared" si="3"/>
        <v>19.795810321581907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281</v>
      </c>
      <c r="AG53" s="12">
        <f>VLOOKUP(A53,'Données projet'!$A$61:$I$81,9,0)</f>
        <v>11.2</v>
      </c>
      <c r="AH53" s="12">
        <f t="array" ref="AH53">INDEX(AG:AG,MIN(IF(ISNUMBER(AG53:AG249),ROW(AG53:AG249),"")))</f>
        <v>11.2</v>
      </c>
      <c r="AI53" s="13">
        <f>IF('Données projet'!$A$62&gt;35,AI52+AH53-AQ52,IF(A53&lt;'Données projet'!$A$62,$AF$205^A53,IF(A53='Données projet'!$A$62,'Données projet'!$B$62,AI52+AH53-AQ52)))</f>
        <v>280.99999999999989</v>
      </c>
      <c r="AJ53" s="13">
        <f>AI53*VLOOKUP('Données projet'!$B$10,Paramètres!$A$1:$I$89,3,0)*VLOOKUP('Données projet'!$B$10,Paramètres!$A$1:$I$89,5,0)</f>
        <v>236.71439999999993</v>
      </c>
      <c r="AK53" s="13">
        <f t="shared" si="35"/>
        <v>57.732051507919294</v>
      </c>
      <c r="AL53" s="20">
        <f t="shared" si="4"/>
        <v>512.82756970962589</v>
      </c>
      <c r="AM53" s="59">
        <f t="shared" si="5"/>
        <v>806.16090304295926</v>
      </c>
      <c r="AN53" s="59">
        <f ca="1">AVERAGE(OFFSET($AM$3,0,0,'Données projet'!$E$10+1,1))-AVERAGE(OFFSET($H$3,0,0,'Données projet'!$E$10+1,1))</f>
        <v>382.67703499770795</v>
      </c>
      <c r="AO53" s="59">
        <f t="shared" si="36"/>
        <v>237.98926636458219</v>
      </c>
      <c r="AP53" s="15">
        <f>IF(ISNA(VLOOKUP(A53,'Données projet'!$A$61:$I$81,3,0)),0,VLOOKUP(A53,'Données projet'!$A$61:$I$81,3,0))</f>
        <v>4</v>
      </c>
      <c r="AQ53" s="15">
        <f>IF(ISNA(VLOOKUP(A53,'Données projet'!$A$61:$I$81,4,0)),0,VLOOKUP(A53,'Données projet'!$A$61:$I$81,4,0))</f>
        <v>56</v>
      </c>
      <c r="AR53" s="16">
        <f>IF(ISNA(VLOOKUP(A53,'Données projet'!$A$61:$I$81,5,0)),0%,VLOOKUP(A53,'Données projet'!$A$61:$I$81,5,0)*VLOOKUP('Données projet'!$B$10,Paramètres!$A$1:$I$89,7,0))</f>
        <v>0.43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22.424457805062858</v>
      </c>
      <c r="AV53" s="21">
        <f>EXP(-LN(2)/25)*AV52+(1-EXP(-LN(2)/25))/(LN(2)/25)*Calculateur!AQ53*Calculateur!AS53*VLOOKUP('Données projet'!$B$10,Paramètres!$A$1:$I$89,3,0)*0.475*44/12</f>
        <v>0</v>
      </c>
      <c r="AW53" s="21">
        <f>EXP(-LN(2)/2)*AW52+(1-EXP(-LN(2)/2))/(LN(2)/2)*AQ53*AT53*VLOOKUP('Données projet'!$B$10,Paramètres!$A$1:$I$89,3,0)*0.475*44/12</f>
        <v>0</v>
      </c>
      <c r="AX53" s="21">
        <f t="shared" si="6"/>
        <v>22.424457805062858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25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27.845999999999982</v>
      </c>
      <c r="D54" s="11">
        <f t="shared" si="32"/>
        <v>8.7125341134088217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282.20622824385742</v>
      </c>
      <c r="H54" s="67">
        <f t="shared" si="1"/>
        <v>357.00611358085365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7.2999999999999972</v>
      </c>
      <c r="N54" s="13">
        <f>IF('Données projet'!$A$36&gt;35,N53+M54-V53,IF(A54&lt;'Données projet'!$A$36,$K$205^A54,IF(A54='Données projet'!$A$36,'Données projet'!$B$36,N53+M54-V53)))</f>
        <v>381.20000000000027</v>
      </c>
      <c r="O54" s="13">
        <f>N54*VLOOKUP('Données projet'!$B$9,Paramètres!$A$1:$I$89,3,0)*VLOOKUP('Données projet'!$B$9,Paramètres!$A$1:$I$89,5,0)</f>
        <v>227.95760000000018</v>
      </c>
      <c r="P54" s="13">
        <f t="shared" si="33"/>
        <v>55.840837908542632</v>
      </c>
      <c r="Q54" s="20">
        <f t="shared" si="53"/>
        <v>494.28227935737868</v>
      </c>
      <c r="R54" s="59">
        <f t="shared" si="0"/>
        <v>787.61561269071194</v>
      </c>
      <c r="S54" s="59">
        <f ca="1">AVERAGE(OFFSET($R$3,0,0,'Données projet'!$E$9+1,1))-AVERAGE(OFFSET($H$3,0,0,'Données projet'!$E$9+1,1))</f>
        <v>252.28378247570731</v>
      </c>
      <c r="T54" s="59">
        <f t="shared" si="34"/>
        <v>263.50418595307343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19.368984455148578</v>
      </c>
      <c r="AA54" s="21">
        <f>EXP(-LN(2)/25)*AA53+(1-EXP(-LN(2)/25))/(LN(2)/25)*Calculateur!V54*Calculateur!X54*VLOOKUP('Données projet'!$B$9,Paramètres!$A$1:$I$89,3,0)*0.475*44/12</f>
        <v>0</v>
      </c>
      <c r="AB54" s="21">
        <f>EXP(-LN(2)/2)*AB53+(1-EXP(-LN(2)/2))/(LN(2)/2)*V54*Y54*VLOOKUP('Données projet'!$B$9,Paramètres!$A$1:$I$89,3,0)*0.475*44/12</f>
        <v>2.7870616945597212E-2</v>
      </c>
      <c r="AC54" s="22">
        <f t="shared" si="3"/>
        <v>19.396855072094176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9.8000000000000007</v>
      </c>
      <c r="AI54" s="13">
        <f>IF('Données projet'!$A$62&gt;35,AI53+AH54-AQ53,IF(A54&lt;'Données projet'!$A$62,$AF$205^A54,IF(A54='Données projet'!$A$62,'Données projet'!$B$62,AI53+AH54-AQ53)))</f>
        <v>234.7999999999999</v>
      </c>
      <c r="AJ54" s="13">
        <f>AI54*VLOOKUP('Données projet'!$B$10,Paramètres!$A$1:$I$89,3,0)*VLOOKUP('Données projet'!$B$10,Paramètres!$A$1:$I$89,5,0)</f>
        <v>197.79551999999995</v>
      </c>
      <c r="AK54" s="13">
        <f t="shared" si="35"/>
        <v>49.259377667644507</v>
      </c>
      <c r="AL54" s="20">
        <f t="shared" si="4"/>
        <v>430.28728010448077</v>
      </c>
      <c r="AM54" s="59">
        <f t="shared" si="5"/>
        <v>723.62061343781409</v>
      </c>
      <c r="AN54" s="59">
        <f ca="1">AVERAGE(OFFSET($AM$3,0,0,'Données projet'!$E$10+1,1))-AVERAGE(OFFSET($H$3,0,0,'Données projet'!$E$10+1,1))</f>
        <v>382.67703499770795</v>
      </c>
      <c r="AO54" s="59">
        <f t="shared" si="36"/>
        <v>237.98926636458219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21.984727865074287</v>
      </c>
      <c r="AV54" s="21">
        <f>EXP(-LN(2)/25)*AV53+(1-EXP(-LN(2)/25))/(LN(2)/25)*Calculateur!AQ54*Calculateur!AS54*VLOOKUP('Données projet'!$B$10,Paramètres!$A$1:$I$89,3,0)*0.475*44/12</f>
        <v>0</v>
      </c>
      <c r="AW54" s="21">
        <f>EXP(-LN(2)/2)*AW53+(1-EXP(-LN(2)/2))/(LN(2)/2)*AQ54*AT54*VLOOKUP('Données projet'!$B$10,Paramètres!$A$1:$I$89,3,0)*0.475*44/12</f>
        <v>0</v>
      </c>
      <c r="AX54" s="21">
        <f t="shared" si="6"/>
        <v>21.984727865074287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25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28.391999999999982</v>
      </c>
      <c r="D55" s="11">
        <f t="shared" si="32"/>
        <v>8.8633120224605459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287.58486473478308</v>
      </c>
      <c r="H55" s="67">
        <f t="shared" si="1"/>
        <v>358.21966843911872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7.2999999999999972</v>
      </c>
      <c r="N55" s="13">
        <f>IF('Données projet'!$A$36&gt;35,N54+M55-V54,IF(A55&lt;'Données projet'!$A$36,$K$205^A55,IF(A55='Données projet'!$A$36,'Données projet'!$B$36,N54+M55-V54)))</f>
        <v>388.50000000000028</v>
      </c>
      <c r="O55" s="13">
        <f>N55*VLOOKUP('Données projet'!$B$9,Paramètres!$A$1:$I$89,3,0)*VLOOKUP('Données projet'!$B$9,Paramètres!$A$1:$I$89,5,0)</f>
        <v>232.32300000000021</v>
      </c>
      <c r="P55" s="13">
        <f t="shared" si="33"/>
        <v>56.784674292431681</v>
      </c>
      <c r="Q55" s="20">
        <f t="shared" si="53"/>
        <v>503.52919939265217</v>
      </c>
      <c r="R55" s="59">
        <f t="shared" si="0"/>
        <v>796.86253272598549</v>
      </c>
      <c r="S55" s="59">
        <f ca="1">AVERAGE(OFFSET($R$3,0,0,'Données projet'!$E$9+1,1))-AVERAGE(OFFSET($H$3,0,0,'Données projet'!$E$9+1,1))</f>
        <v>252.28378247570731</v>
      </c>
      <c r="T55" s="59">
        <f t="shared" si="34"/>
        <v>263.50418595307343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18.989170483897105</v>
      </c>
      <c r="AA55" s="21">
        <f>EXP(-LN(2)/25)*AA54+(1-EXP(-LN(2)/25))/(LN(2)/25)*Calculateur!V55*Calculateur!X55*VLOOKUP('Données projet'!$B$9,Paramètres!$A$1:$I$89,3,0)*0.475*44/12</f>
        <v>0</v>
      </c>
      <c r="AB55" s="21">
        <f>EXP(-LN(2)/2)*AB54+(1-EXP(-LN(2)/2))/(LN(2)/2)*V55*Y55*VLOOKUP('Données projet'!$B$9,Paramètres!$A$1:$I$89,3,0)*0.475*44/12</f>
        <v>1.9707502238084491E-2</v>
      </c>
      <c r="AC55" s="22">
        <f t="shared" si="3"/>
        <v>19.00887798613519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9.8000000000000007</v>
      </c>
      <c r="AI55" s="13">
        <f>IF('Données projet'!$A$62&gt;35,AI54+AH55-AQ54,IF(A55&lt;'Données projet'!$A$62,$AF$205^A55,IF(A55='Données projet'!$A$62,'Données projet'!$B$62,AI54+AH55-AQ54)))</f>
        <v>244.59999999999991</v>
      </c>
      <c r="AJ55" s="13">
        <f>AI55*VLOOKUP('Données projet'!$B$10,Paramètres!$A$1:$I$89,3,0)*VLOOKUP('Données projet'!$B$10,Paramètres!$A$1:$I$89,5,0)</f>
        <v>206.05103999999992</v>
      </c>
      <c r="AK55" s="13">
        <f t="shared" si="35"/>
        <v>51.071687476618123</v>
      </c>
      <c r="AL55" s="20">
        <f t="shared" si="4"/>
        <v>447.822083688443</v>
      </c>
      <c r="AM55" s="59">
        <f t="shared" si="5"/>
        <v>741.15541702177632</v>
      </c>
      <c r="AN55" s="59">
        <f ca="1">AVERAGE(OFFSET($AM$3,0,0,'Données projet'!$E$10+1,1))-AVERAGE(OFFSET($H$3,0,0,'Données projet'!$E$10+1,1))</f>
        <v>382.67703499770795</v>
      </c>
      <c r="AO55" s="59">
        <f t="shared" si="36"/>
        <v>237.98926636458219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21.553620761000115</v>
      </c>
      <c r="AV55" s="21">
        <f>EXP(-LN(2)/25)*AV54+(1-EXP(-LN(2)/25))/(LN(2)/25)*Calculateur!AQ55*Calculateur!AS55*VLOOKUP('Données projet'!$B$10,Paramètres!$A$1:$I$89,3,0)*0.475*44/12</f>
        <v>0</v>
      </c>
      <c r="AW55" s="21">
        <f>EXP(-LN(2)/2)*AW54+(1-EXP(-LN(2)/2))/(LN(2)/2)*AQ55*AT55*VLOOKUP('Données projet'!$B$10,Paramètres!$A$1:$I$89,3,0)*0.475*44/12</f>
        <v>0</v>
      </c>
      <c r="AX55" s="21">
        <f t="shared" si="6"/>
        <v>21.553620761000115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25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28.937999999999981</v>
      </c>
      <c r="D56" s="11">
        <f t="shared" si="32"/>
        <v>9.0137527764644076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292.96089862533921</v>
      </c>
      <c r="H56" s="67">
        <f t="shared" si="1"/>
        <v>359.43263608567548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7.2999999999999972</v>
      </c>
      <c r="N56" s="13">
        <f>IF('Données projet'!$A$36&gt;35,N55+M56-V55,IF(A56&lt;'Données projet'!$A$36,$K$205^A56,IF(A56='Données projet'!$A$36,'Données projet'!$B$36,N55+M56-V55)))</f>
        <v>395.8000000000003</v>
      </c>
      <c r="O56" s="13">
        <f>N56*VLOOKUP('Données projet'!$B$9,Paramètres!$A$1:$I$89,3,0)*VLOOKUP('Données projet'!$B$9,Paramètres!$A$1:$I$89,5,0)</f>
        <v>236.6884000000002</v>
      </c>
      <c r="P56" s="13">
        <f t="shared" si="33"/>
        <v>57.726448462488456</v>
      </c>
      <c r="Q56" s="20">
        <f t="shared" si="53"/>
        <v>512.77252773883436</v>
      </c>
      <c r="R56" s="59">
        <f t="shared" si="0"/>
        <v>806.10586107216773</v>
      </c>
      <c r="S56" s="59">
        <f ca="1">AVERAGE(OFFSET($R$3,0,0,'Données projet'!$E$9+1,1))-AVERAGE(OFFSET($H$3,0,0,'Données projet'!$E$9+1,1))</f>
        <v>252.28378247570731</v>
      </c>
      <c r="T56" s="59">
        <f t="shared" si="34"/>
        <v>263.50418595307343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18.616804432958226</v>
      </c>
      <c r="AA56" s="21">
        <f>EXP(-LN(2)/25)*AA55+(1-EXP(-LN(2)/25))/(LN(2)/25)*Calculateur!V56*Calculateur!X56*VLOOKUP('Données projet'!$B$9,Paramètres!$A$1:$I$89,3,0)*0.475*44/12</f>
        <v>0</v>
      </c>
      <c r="AB56" s="21">
        <f>EXP(-LN(2)/2)*AB55+(1-EXP(-LN(2)/2))/(LN(2)/2)*V56*Y56*VLOOKUP('Données projet'!$B$9,Paramètres!$A$1:$I$89,3,0)*0.475*44/12</f>
        <v>1.3935308472798606E-2</v>
      </c>
      <c r="AC56" s="22">
        <f t="shared" si="3"/>
        <v>18.630739741431025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9.8000000000000007</v>
      </c>
      <c r="AI56" s="13">
        <f>IF('Données projet'!$A$62&gt;35,AI55+AH56-AQ55,IF(A56&lt;'Données projet'!$A$62,$AF$205^A56,IF(A56='Données projet'!$A$62,'Données projet'!$B$62,AI55+AH56-AQ55)))</f>
        <v>254.39999999999992</v>
      </c>
      <c r="AJ56" s="13">
        <f>AI56*VLOOKUP('Données projet'!$B$10,Paramètres!$A$1:$I$89,3,0)*VLOOKUP('Données projet'!$B$10,Paramètres!$A$1:$I$89,5,0)</f>
        <v>214.30655999999996</v>
      </c>
      <c r="AK56" s="13">
        <f t="shared" si="35"/>
        <v>52.875562666416783</v>
      </c>
      <c r="AL56" s="20">
        <f t="shared" si="4"/>
        <v>465.34219697734244</v>
      </c>
      <c r="AM56" s="59">
        <f t="shared" si="5"/>
        <v>758.67553031067575</v>
      </c>
      <c r="AN56" s="59">
        <f ca="1">AVERAGE(OFFSET($AM$3,0,0,'Données projet'!$E$10+1,1))-AVERAGE(OFFSET($H$3,0,0,'Données projet'!$E$10+1,1))</f>
        <v>382.67703499770795</v>
      </c>
      <c r="AO56" s="59">
        <f t="shared" si="36"/>
        <v>237.98926636458219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21.130967404287468</v>
      </c>
      <c r="AV56" s="21">
        <f>EXP(-LN(2)/25)*AV55+(1-EXP(-LN(2)/25))/(LN(2)/25)*Calculateur!AQ56*Calculateur!AS56*VLOOKUP('Données projet'!$B$10,Paramètres!$A$1:$I$89,3,0)*0.475*44/12</f>
        <v>0</v>
      </c>
      <c r="AW56" s="21">
        <f>EXP(-LN(2)/2)*AW55+(1-EXP(-LN(2)/2))/(LN(2)/2)*AQ56*AT56*VLOOKUP('Données projet'!$B$10,Paramètres!$A$1:$I$89,3,0)*0.475*44/12</f>
        <v>0</v>
      </c>
      <c r="AX56" s="21">
        <f t="shared" si="6"/>
        <v>21.130967404287468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25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29.48399999999998</v>
      </c>
      <c r="D57" s="11">
        <f t="shared" si="32"/>
        <v>9.163863470361429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298.33438468349158</v>
      </c>
      <c r="H57" s="67">
        <f t="shared" si="1"/>
        <v>360.64502887754611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>
        <f>VLOOKUP(A57,'Données projet'!$A$35:$I$55,2,0)</f>
        <v>403.09999999999997</v>
      </c>
      <c r="L57" s="12">
        <f>VLOOKUP(A57,'Données projet'!$A$35:$I$55,9,0)</f>
        <v>7.2999999999999972</v>
      </c>
      <c r="M57" s="12">
        <f t="array" ref="M57">INDEX(L:L,MIN(IF(ISNUMBER(L57:L253),ROW(L57:L253),"")))</f>
        <v>7.2999999999999972</v>
      </c>
      <c r="N57" s="13">
        <f>IF('Données projet'!$A$36&gt;35,N56+M57-V56,IF(A57&lt;'Données projet'!$A$36,$K$205^A57,IF(A57='Données projet'!$A$36,'Données projet'!$B$36,N56+M57-V56)))</f>
        <v>403.10000000000031</v>
      </c>
      <c r="O57" s="13">
        <f>N57*VLOOKUP('Données projet'!$B$9,Paramètres!$A$1:$I$89,3,0)*VLOOKUP('Données projet'!$B$9,Paramètres!$A$1:$I$89,5,0)</f>
        <v>241.05380000000022</v>
      </c>
      <c r="P57" s="13">
        <f t="shared" si="33"/>
        <v>58.666202840030898</v>
      </c>
      <c r="Q57" s="20">
        <f t="shared" si="53"/>
        <v>522.01233827972089</v>
      </c>
      <c r="R57" s="59">
        <f t="shared" si="0"/>
        <v>815.34567161305426</v>
      </c>
      <c r="S57" s="59">
        <f ca="1">AVERAGE(OFFSET($R$3,0,0,'Données projet'!$E$9+1,1))-AVERAGE(OFFSET($H$3,0,0,'Données projet'!$E$9+1,1))</f>
        <v>252.28378247570731</v>
      </c>
      <c r="T57" s="59">
        <f t="shared" si="34"/>
        <v>263.50418595307343</v>
      </c>
      <c r="U57" s="15">
        <f>IF(ISNA(VLOOKUP(A57,'Données projet'!$A$35:$I$55,3,0)),0,VLOOKUP(A57,'Données projet'!$A$35:$I$55,3,0))</f>
        <v>9</v>
      </c>
      <c r="V57" s="15">
        <f>IF(ISNA(VLOOKUP(A57,'Données projet'!$A$35:$I$55,4,0)),0,VLOOKUP(A57,'Données projet'!$A$35:$I$55,4,0))</f>
        <v>17.399999999999999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18.251740253157394</v>
      </c>
      <c r="AA57" s="21">
        <f>EXP(-LN(2)/25)*AA56+(1-EXP(-LN(2)/25))/(LN(2)/25)*Calculateur!V57*Calculateur!X57*VLOOKUP('Données projet'!$B$9,Paramètres!$A$1:$I$89,3,0)*0.475*44/12</f>
        <v>0</v>
      </c>
      <c r="AB57" s="21">
        <f>EXP(-LN(2)/2)*AB56+(1-EXP(-LN(2)/2))/(LN(2)/2)*V57*Y57*VLOOKUP('Données projet'!$B$9,Paramètres!$A$1:$I$89,3,0)*0.475*44/12</f>
        <v>9.8537511190422457E-3</v>
      </c>
      <c r="AC57" s="22">
        <f t="shared" si="3"/>
        <v>18.261594004276436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9.8000000000000007</v>
      </c>
      <c r="AI57" s="13">
        <f>IF('Données projet'!$A$62&gt;35,AI56+AH57-AQ56,IF(A57&lt;'Données projet'!$A$62,$AF$205^A57,IF(A57='Données projet'!$A$62,'Données projet'!$B$62,AI56+AH57-AQ56)))</f>
        <v>264.19999999999993</v>
      </c>
      <c r="AJ57" s="13">
        <f>AI57*VLOOKUP('Données projet'!$B$10,Paramètres!$A$1:$I$89,3,0)*VLOOKUP('Données projet'!$B$10,Paramètres!$A$1:$I$89,5,0)</f>
        <v>222.56207999999998</v>
      </c>
      <c r="AK57" s="13">
        <f t="shared" si="35"/>
        <v>54.671365346393124</v>
      </c>
      <c r="AL57" s="20">
        <f t="shared" si="4"/>
        <v>482.848250644968</v>
      </c>
      <c r="AM57" s="59">
        <f t="shared" si="5"/>
        <v>776.18158397830132</v>
      </c>
      <c r="AN57" s="59">
        <f ca="1">AVERAGE(OFFSET($AM$3,0,0,'Données projet'!$E$10+1,1))-AVERAGE(OFFSET($H$3,0,0,'Données projet'!$E$10+1,1))</f>
        <v>382.67703499770795</v>
      </c>
      <c r="AO57" s="59">
        <f t="shared" si="36"/>
        <v>237.98926636458219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20.716602022106862</v>
      </c>
      <c r="AV57" s="21">
        <f>EXP(-LN(2)/25)*AV56+(1-EXP(-LN(2)/25))/(LN(2)/25)*Calculateur!AQ57*Calculateur!AS57*VLOOKUP('Données projet'!$B$10,Paramètres!$A$1:$I$89,3,0)*0.475*44/12</f>
        <v>0</v>
      </c>
      <c r="AW57" s="21">
        <f>EXP(-LN(2)/2)*AW56+(1-EXP(-LN(2)/2))/(LN(2)/2)*AQ57*AT57*VLOOKUP('Données projet'!$B$10,Paramètres!$A$1:$I$89,3,0)*0.475*44/12</f>
        <v>0</v>
      </c>
      <c r="AX57" s="21">
        <f t="shared" si="6"/>
        <v>20.716602022106862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25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30.02999999999998</v>
      </c>
      <c r="D58" s="11">
        <f t="shared" si="32"/>
        <v>9.3136509212754071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303.70537553265211</v>
      </c>
      <c r="H58" s="67">
        <f t="shared" si="1"/>
        <v>361.85685868788795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3.0375000000000085</v>
      </c>
      <c r="N58" s="13">
        <f>IF('Données projet'!$A$36&gt;35,N57+M58-V57,IF(A58&lt;'Données projet'!$A$36,$K$205^A58,IF(A58='Données projet'!$A$36,'Données projet'!$B$36,N57+M58-V57)))</f>
        <v>388.73750000000035</v>
      </c>
      <c r="O58" s="13">
        <f>N58*VLOOKUP('Données projet'!$B$9,Paramètres!$A$1:$I$89,3,0)*VLOOKUP('Données projet'!$B$9,Paramètres!$A$1:$I$89,5,0)</f>
        <v>232.46502500000025</v>
      </c>
      <c r="P58" s="13">
        <f t="shared" si="33"/>
        <v>56.81534642612386</v>
      </c>
      <c r="Q58" s="20">
        <f t="shared" si="53"/>
        <v>503.82998023383288</v>
      </c>
      <c r="R58" s="59">
        <f t="shared" si="0"/>
        <v>797.16331356716614</v>
      </c>
      <c r="S58" s="59">
        <f ca="1">AVERAGE(OFFSET($R$3,0,0,'Données projet'!$E$9+1,1))-AVERAGE(OFFSET($H$3,0,0,'Données projet'!$E$9+1,1))</f>
        <v>252.28378247570731</v>
      </c>
      <c r="T58" s="59">
        <f t="shared" si="34"/>
        <v>263.50418595307343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17.893834759255292</v>
      </c>
      <c r="AA58" s="21">
        <f>EXP(-LN(2)/25)*AA57+(1-EXP(-LN(2)/25))/(LN(2)/25)*Calculateur!V58*Calculateur!X58*VLOOKUP('Données projet'!$B$9,Paramètres!$A$1:$I$89,3,0)*0.475*44/12</f>
        <v>0</v>
      </c>
      <c r="AB58" s="21">
        <f>EXP(-LN(2)/2)*AB57+(1-EXP(-LN(2)/2))/(LN(2)/2)*V58*Y58*VLOOKUP('Données projet'!$B$9,Paramètres!$A$1:$I$89,3,0)*0.475*44/12</f>
        <v>6.9676542363993031E-3</v>
      </c>
      <c r="AC58" s="22">
        <f t="shared" si="3"/>
        <v>17.900802413491689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9.8000000000000007</v>
      </c>
      <c r="AI58" s="13">
        <f>IF('Données projet'!$A$62&gt;35,AI57+AH58-AQ57,IF(A58&lt;'Données projet'!$A$62,$AF$205^A58,IF(A58='Données projet'!$A$62,'Données projet'!$B$62,AI57+AH58-AQ57)))</f>
        <v>273.99999999999994</v>
      </c>
      <c r="AJ58" s="13">
        <f>AI58*VLOOKUP('Données projet'!$B$10,Paramètres!$A$1:$I$89,3,0)*VLOOKUP('Données projet'!$B$10,Paramètres!$A$1:$I$89,5,0)</f>
        <v>230.81759999999997</v>
      </c>
      <c r="AK58" s="13">
        <f t="shared" si="35"/>
        <v>56.459429240325889</v>
      </c>
      <c r="AL58" s="20">
        <f t="shared" si="4"/>
        <v>500.34082592690083</v>
      </c>
      <c r="AM58" s="59">
        <f t="shared" si="5"/>
        <v>793.67415926023409</v>
      </c>
      <c r="AN58" s="59">
        <f ca="1">AVERAGE(OFFSET($AM$3,0,0,'Données projet'!$E$10+1,1))-AVERAGE(OFFSET($H$3,0,0,'Données projet'!$E$10+1,1))</f>
        <v>382.67703499770795</v>
      </c>
      <c r="AO58" s="59">
        <f t="shared" si="36"/>
        <v>237.98926636458219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20.310362092332891</v>
      </c>
      <c r="AV58" s="21">
        <f>EXP(-LN(2)/25)*AV57+(1-EXP(-LN(2)/25))/(LN(2)/25)*Calculateur!AQ58*Calculateur!AS58*VLOOKUP('Données projet'!$B$10,Paramètres!$A$1:$I$89,3,0)*0.475*44/12</f>
        <v>0</v>
      </c>
      <c r="AW58" s="21">
        <f>EXP(-LN(2)/2)*AW57+(1-EXP(-LN(2)/2))/(LN(2)/2)*AQ58*AT58*VLOOKUP('Données projet'!$B$10,Paramètres!$A$1:$I$89,3,0)*0.475*44/12</f>
        <v>0</v>
      </c>
      <c r="AX58" s="21">
        <f t="shared" si="6"/>
        <v>20.310362092332891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25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30.575999999999979</v>
      </c>
      <c r="D59" s="11">
        <f t="shared" si="32"/>
        <v>9.4631216842413828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309.07392177309129</v>
      </c>
      <c r="H59" s="67">
        <f t="shared" si="1"/>
        <v>363.068136933387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3.0375000000000085</v>
      </c>
      <c r="N59" s="13">
        <f>IF('Données projet'!$A$36&gt;35,N58+M59-V58,IF(A59&lt;'Données projet'!$A$36,$K$205^A59,IF(A59='Données projet'!$A$36,'Données projet'!$B$36,N58+M59-V58)))</f>
        <v>391.77500000000038</v>
      </c>
      <c r="O59" s="13">
        <f>N59*VLOOKUP('Données projet'!$B$9,Paramètres!$A$1:$I$89,3,0)*VLOOKUP('Données projet'!$B$9,Paramètres!$A$1:$I$89,5,0)</f>
        <v>234.28145000000023</v>
      </c>
      <c r="P59" s="13">
        <f t="shared" si="33"/>
        <v>57.207435050889636</v>
      </c>
      <c r="Q59" s="20">
        <f t="shared" si="53"/>
        <v>507.67647479696649</v>
      </c>
      <c r="R59" s="59">
        <f t="shared" si="0"/>
        <v>801.0098081302998</v>
      </c>
      <c r="S59" s="59">
        <f ca="1">AVERAGE(OFFSET($R$3,0,0,'Données projet'!$E$9+1,1))-AVERAGE(OFFSET($H$3,0,0,'Données projet'!$E$9+1,1))</f>
        <v>252.28378247570731</v>
      </c>
      <c r="T59" s="59">
        <f t="shared" si="34"/>
        <v>263.50418595307343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17.542947573787814</v>
      </c>
      <c r="AA59" s="21">
        <f>EXP(-LN(2)/25)*AA58+(1-EXP(-LN(2)/25))/(LN(2)/25)*Calculateur!V59*Calculateur!X59*VLOOKUP('Données projet'!$B$9,Paramètres!$A$1:$I$89,3,0)*0.475*44/12</f>
        <v>0</v>
      </c>
      <c r="AB59" s="21">
        <f>EXP(-LN(2)/2)*AB58+(1-EXP(-LN(2)/2))/(LN(2)/2)*V59*Y59*VLOOKUP('Données projet'!$B$9,Paramètres!$A$1:$I$89,3,0)*0.475*44/12</f>
        <v>4.9268755595211228E-3</v>
      </c>
      <c r="AC59" s="22">
        <f t="shared" si="3"/>
        <v>17.547874449347336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9.8000000000000007</v>
      </c>
      <c r="AI59" s="13">
        <f>IF('Données projet'!$A$62&gt;35,AI58+AH59-AQ58,IF(A59&lt;'Données projet'!$A$62,$AF$205^A59,IF(A59='Données projet'!$A$62,'Données projet'!$B$62,AI58+AH59-AQ58)))</f>
        <v>283.79999999999995</v>
      </c>
      <c r="AJ59" s="13">
        <f>AI59*VLOOKUP('Données projet'!$B$10,Paramètres!$A$1:$I$89,3,0)*VLOOKUP('Données projet'!$B$10,Paramètres!$A$1:$I$89,5,0)</f>
        <v>239.07311999999999</v>
      </c>
      <c r="AK59" s="13">
        <f t="shared" si="35"/>
        <v>58.240062846534926</v>
      </c>
      <c r="AL59" s="20">
        <f t="shared" si="4"/>
        <v>517.82046012438161</v>
      </c>
      <c r="AM59" s="59">
        <f t="shared" si="5"/>
        <v>811.15379345771498</v>
      </c>
      <c r="AN59" s="59">
        <f ca="1">AVERAGE(OFFSET($AM$3,0,0,'Données projet'!$E$10+1,1))-AVERAGE(OFFSET($H$3,0,0,'Données projet'!$E$10+1,1))</f>
        <v>382.67703499770795</v>
      </c>
      <c r="AO59" s="59">
        <f t="shared" si="36"/>
        <v>237.98926636458219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19.912088279799896</v>
      </c>
      <c r="AV59" s="21">
        <f>EXP(-LN(2)/25)*AV58+(1-EXP(-LN(2)/25))/(LN(2)/25)*Calculateur!AQ59*Calculateur!AS59*VLOOKUP('Données projet'!$B$10,Paramètres!$A$1:$I$89,3,0)*0.475*44/12</f>
        <v>0</v>
      </c>
      <c r="AW59" s="21">
        <f>EXP(-LN(2)/2)*AW58+(1-EXP(-LN(2)/2))/(LN(2)/2)*AQ59*AT59*VLOOKUP('Données projet'!$B$10,Paramètres!$A$1:$I$89,3,0)*0.475*44/12</f>
        <v>0</v>
      </c>
      <c r="AX59" s="21">
        <f t="shared" si="6"/>
        <v>19.912088279799896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25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31.121999999999979</v>
      </c>
      <c r="D60" s="11">
        <f t="shared" si="32"/>
        <v>9.6122820667787945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314.44007209443265</v>
      </c>
      <c r="H60" s="67">
        <f t="shared" si="1"/>
        <v>364.27887459963966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3.0375000000000085</v>
      </c>
      <c r="N60" s="13">
        <f>IF('Données projet'!$A$36&gt;35,N59+M60-V59,IF(A60&lt;'Données projet'!$A$36,$K$205^A60,IF(A60='Données projet'!$A$36,'Données projet'!$B$36,N59+M60-V59)))</f>
        <v>394.8125000000004</v>
      </c>
      <c r="O60" s="13">
        <f>N60*VLOOKUP('Données projet'!$B$9,Paramètres!$A$1:$I$89,3,0)*VLOOKUP('Données projet'!$B$9,Paramètres!$A$1:$I$89,5,0)</f>
        <v>236.09787500000024</v>
      </c>
      <c r="P60" s="13">
        <f t="shared" si="33"/>
        <v>57.599169983491038</v>
      </c>
      <c r="Q60" s="20">
        <f t="shared" si="53"/>
        <v>511.52235334624737</v>
      </c>
      <c r="R60" s="59">
        <f t="shared" si="0"/>
        <v>804.85568667958069</v>
      </c>
      <c r="S60" s="59">
        <f ca="1">AVERAGE(OFFSET($R$3,0,0,'Données projet'!$E$9+1,1))-AVERAGE(OFFSET($H$3,0,0,'Données projet'!$E$9+1,1))</f>
        <v>252.28378247570731</v>
      </c>
      <c r="T60" s="59">
        <f t="shared" si="34"/>
        <v>263.50418595307343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17.198941072007305</v>
      </c>
      <c r="AA60" s="21">
        <f>EXP(-LN(2)/25)*AA59+(1-EXP(-LN(2)/25))/(LN(2)/25)*Calculateur!V60*Calculateur!X60*VLOOKUP('Données projet'!$B$9,Paramètres!$A$1:$I$89,3,0)*0.475*44/12</f>
        <v>0</v>
      </c>
      <c r="AB60" s="21">
        <f>EXP(-LN(2)/2)*AB59+(1-EXP(-LN(2)/2))/(LN(2)/2)*V60*Y60*VLOOKUP('Données projet'!$B$9,Paramètres!$A$1:$I$89,3,0)*0.475*44/12</f>
        <v>3.4838271181996516E-3</v>
      </c>
      <c r="AC60" s="22">
        <f t="shared" si="3"/>
        <v>17.202424899125504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9.8000000000000007</v>
      </c>
      <c r="AI60" s="13">
        <f>IF('Données projet'!$A$62&gt;35,AI59+AH60-AQ59,IF(A60&lt;'Données projet'!$A$62,$AF$205^A60,IF(A60='Données projet'!$A$62,'Données projet'!$B$62,AI59+AH60-AQ59)))</f>
        <v>293.59999999999997</v>
      </c>
      <c r="AJ60" s="13">
        <f>AI60*VLOOKUP('Données projet'!$B$10,Paramètres!$A$1:$I$89,3,0)*VLOOKUP('Données projet'!$B$10,Paramètres!$A$1:$I$89,5,0)</f>
        <v>247.32863999999998</v>
      </c>
      <c r="AK60" s="13">
        <f t="shared" si="35"/>
        <v>60.013552149240468</v>
      </c>
      <c r="AL60" s="20">
        <f t="shared" si="4"/>
        <v>535.28765132659362</v>
      </c>
      <c r="AM60" s="59">
        <f t="shared" si="5"/>
        <v>828.62098465992699</v>
      </c>
      <c r="AN60" s="59">
        <f ca="1">AVERAGE(OFFSET($AM$3,0,0,'Données projet'!$E$10+1,1))-AVERAGE(OFFSET($H$3,0,0,'Données projet'!$E$10+1,1))</f>
        <v>382.67703499770795</v>
      </c>
      <c r="AO60" s="59">
        <f t="shared" si="36"/>
        <v>237.98926636458219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19.521624373807633</v>
      </c>
      <c r="AV60" s="21">
        <f>EXP(-LN(2)/25)*AV59+(1-EXP(-LN(2)/25))/(LN(2)/25)*Calculateur!AQ60*Calculateur!AS60*VLOOKUP('Données projet'!$B$10,Paramètres!$A$1:$I$89,3,0)*0.475*44/12</f>
        <v>0</v>
      </c>
      <c r="AW60" s="21">
        <f>EXP(-LN(2)/2)*AW59+(1-EXP(-LN(2)/2))/(LN(2)/2)*AQ60*AT60*VLOOKUP('Données projet'!$B$10,Paramètres!$A$1:$I$89,3,0)*0.475*44/12</f>
        <v>0</v>
      </c>
      <c r="AX60" s="21">
        <f t="shared" si="6"/>
        <v>19.521624373807633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25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31.667999999999978</v>
      </c>
      <c r="D61" s="11">
        <f t="shared" si="32"/>
        <v>9.7611381424130617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319.8038733800305</v>
      </c>
      <c r="H61" s="67">
        <f t="shared" si="1"/>
        <v>365.48908226470269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3.0375000000000085</v>
      </c>
      <c r="N61" s="13">
        <f>IF('Données projet'!$A$36&gt;35,N60+M61-V60,IF(A61&lt;'Données projet'!$A$36,$K$205^A61,IF(A61='Données projet'!$A$36,'Données projet'!$B$36,N60+M61-V60)))</f>
        <v>397.85000000000042</v>
      </c>
      <c r="O61" s="13">
        <f>N61*VLOOKUP('Données projet'!$B$9,Paramètres!$A$1:$I$89,3,0)*VLOOKUP('Données projet'!$B$9,Paramètres!$A$1:$I$89,5,0)</f>
        <v>237.91430000000025</v>
      </c>
      <c r="P61" s="13">
        <f t="shared" si="33"/>
        <v>57.990554260508603</v>
      </c>
      <c r="Q61" s="20">
        <f t="shared" si="53"/>
        <v>515.3676211703862</v>
      </c>
      <c r="R61" s="59">
        <f t="shared" si="0"/>
        <v>808.70095450371946</v>
      </c>
      <c r="S61" s="59">
        <f ca="1">AVERAGE(OFFSET($R$3,0,0,'Données projet'!$E$9+1,1))-AVERAGE(OFFSET($H$3,0,0,'Données projet'!$E$9+1,1))</f>
        <v>252.28378247570731</v>
      </c>
      <c r="T61" s="59">
        <f t="shared" si="34"/>
        <v>263.50418595307343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16.861680327903464</v>
      </c>
      <c r="AA61" s="21">
        <f>EXP(-LN(2)/25)*AA60+(1-EXP(-LN(2)/25))/(LN(2)/25)*Calculateur!V61*Calculateur!X61*VLOOKUP('Données projet'!$B$9,Paramètres!$A$1:$I$89,3,0)*0.475*44/12</f>
        <v>0</v>
      </c>
      <c r="AB61" s="21">
        <f>EXP(-LN(2)/2)*AB60+(1-EXP(-LN(2)/2))/(LN(2)/2)*V61*Y61*VLOOKUP('Données projet'!$B$9,Paramètres!$A$1:$I$89,3,0)*0.475*44/12</f>
        <v>2.4634377797605614E-3</v>
      </c>
      <c r="AC61" s="22">
        <f t="shared" si="3"/>
        <v>16.864143765683224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9.8000000000000007</v>
      </c>
      <c r="AI61" s="13">
        <f>IF('Données projet'!$A$62&gt;35,AI60+AH61-AQ60,IF(A61&lt;'Données projet'!$A$62,$AF$205^A61,IF(A61='Données projet'!$A$62,'Données projet'!$B$62,AI60+AH61-AQ60)))</f>
        <v>303.39999999999998</v>
      </c>
      <c r="AJ61" s="13">
        <f>AI61*VLOOKUP('Données projet'!$B$10,Paramètres!$A$1:$I$89,3,0)*VLOOKUP('Données projet'!$B$10,Paramètres!$A$1:$I$89,5,0)</f>
        <v>255.58416</v>
      </c>
      <c r="AK61" s="13">
        <f t="shared" si="35"/>
        <v>61.780162957746263</v>
      </c>
      <c r="AL61" s="20">
        <f t="shared" si="4"/>
        <v>552.74286248474129</v>
      </c>
      <c r="AM61" s="59">
        <f t="shared" si="5"/>
        <v>846.07619581807467</v>
      </c>
      <c r="AN61" s="59">
        <f ca="1">AVERAGE(OFFSET($AM$3,0,0,'Données projet'!$E$10+1,1))-AVERAGE(OFFSET($H$3,0,0,'Données projet'!$E$10+1,1))</f>
        <v>382.67703499770795</v>
      </c>
      <c r="AO61" s="59">
        <f t="shared" si="36"/>
        <v>237.98926636458219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19.138817226852414</v>
      </c>
      <c r="AV61" s="21">
        <f>EXP(-LN(2)/25)*AV60+(1-EXP(-LN(2)/25))/(LN(2)/25)*Calculateur!AQ61*Calculateur!AS61*VLOOKUP('Données projet'!$B$10,Paramètres!$A$1:$I$89,3,0)*0.475*44/12</f>
        <v>0</v>
      </c>
      <c r="AW61" s="21">
        <f>EXP(-LN(2)/2)*AW60+(1-EXP(-LN(2)/2))/(LN(2)/2)*AQ61*AT61*VLOOKUP('Données projet'!$B$10,Paramètres!$A$1:$I$89,3,0)*0.475*44/12</f>
        <v>0</v>
      </c>
      <c r="AX61" s="21">
        <f t="shared" si="6"/>
        <v>19.138817226852414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25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32.213999999999977</v>
      </c>
      <c r="D62" s="11">
        <f t="shared" si="32"/>
        <v>9.9096957632381564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325.16537080394352</v>
      </c>
      <c r="H62" s="67">
        <f t="shared" si="1"/>
        <v>366.69877012097305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3.0375000000000085</v>
      </c>
      <c r="N62" s="13">
        <f>IF('Données projet'!$A$36&gt;35,N61+M62-V61,IF(A62&lt;'Données projet'!$A$36,$K$205^A62,IF(A62='Données projet'!$A$36,'Données projet'!$B$36,N61+M62-V61)))</f>
        <v>400.88750000000044</v>
      </c>
      <c r="O62" s="13">
        <f>N62*VLOOKUP('Données projet'!$B$9,Paramètres!$A$1:$I$89,3,0)*VLOOKUP('Données projet'!$B$9,Paramètres!$A$1:$I$89,5,0)</f>
        <v>239.73072500000029</v>
      </c>
      <c r="P62" s="13">
        <f t="shared" si="33"/>
        <v>58.381590869477499</v>
      </c>
      <c r="Q62" s="20">
        <f t="shared" si="53"/>
        <v>519.2122834726739</v>
      </c>
      <c r="R62" s="59">
        <f t="shared" si="0"/>
        <v>812.54561680600727</v>
      </c>
      <c r="S62" s="59">
        <f ca="1">AVERAGE(OFFSET($R$3,0,0,'Données projet'!$E$9+1,1))-AVERAGE(OFFSET($H$3,0,0,'Données projet'!$E$9+1,1))</f>
        <v>252.28378247570731</v>
      </c>
      <c r="T62" s="59">
        <f t="shared" si="34"/>
        <v>263.50418595307343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16.531033061282756</v>
      </c>
      <c r="AA62" s="21">
        <f>EXP(-LN(2)/25)*AA61+(1-EXP(-LN(2)/25))/(LN(2)/25)*Calculateur!V62*Calculateur!X62*VLOOKUP('Données projet'!$B$9,Paramètres!$A$1:$I$89,3,0)*0.475*44/12</f>
        <v>0</v>
      </c>
      <c r="AB62" s="21">
        <f>EXP(-LN(2)/2)*AB61+(1-EXP(-LN(2)/2))/(LN(2)/2)*V62*Y62*VLOOKUP('Données projet'!$B$9,Paramètres!$A$1:$I$89,3,0)*0.475*44/12</f>
        <v>1.7419135590998258E-3</v>
      </c>
      <c r="AC62" s="22">
        <f t="shared" si="3"/>
        <v>16.532774974841857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9.8000000000000007</v>
      </c>
      <c r="AI62" s="13">
        <f>IF('Données projet'!$A$62&gt;35,AI61+AH62-AQ61,IF(A62&lt;'Données projet'!$A$62,$AF$205^A62,IF(A62='Données projet'!$A$62,'Données projet'!$B$62,AI61+AH62-AQ61)))</f>
        <v>313.2</v>
      </c>
      <c r="AJ62" s="13">
        <f>AI62*VLOOKUP('Données projet'!$B$10,Paramètres!$A$1:$I$89,3,0)*VLOOKUP('Données projet'!$B$10,Paramètres!$A$1:$I$89,5,0)</f>
        <v>263.83968000000004</v>
      </c>
      <c r="AK62" s="13">
        <f t="shared" si="35"/>
        <v>63.540142934904836</v>
      </c>
      <c r="AL62" s="20">
        <f t="shared" si="4"/>
        <v>570.18652494495939</v>
      </c>
      <c r="AM62" s="59">
        <f t="shared" si="5"/>
        <v>863.51985827829276</v>
      </c>
      <c r="AN62" s="59">
        <f ca="1">AVERAGE(OFFSET($AM$3,0,0,'Données projet'!$E$10+1,1))-AVERAGE(OFFSET($H$3,0,0,'Données projet'!$E$10+1,1))</f>
        <v>382.67703499770795</v>
      </c>
      <c r="AO62" s="59">
        <f t="shared" si="36"/>
        <v>237.98926636458219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18.76351669455968</v>
      </c>
      <c r="AV62" s="21">
        <f>EXP(-LN(2)/25)*AV61+(1-EXP(-LN(2)/25))/(LN(2)/25)*Calculateur!AQ62*Calculateur!AS62*VLOOKUP('Données projet'!$B$10,Paramètres!$A$1:$I$89,3,0)*0.475*44/12</f>
        <v>0</v>
      </c>
      <c r="AW62" s="21">
        <f>EXP(-LN(2)/2)*AW61+(1-EXP(-LN(2)/2))/(LN(2)/2)*AQ62*AT62*VLOOKUP('Données projet'!$B$10,Paramètres!$A$1:$I$89,3,0)*0.475*44/12</f>
        <v>0</v>
      </c>
      <c r="AX62" s="21">
        <f t="shared" si="6"/>
        <v>18.76351669455968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25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32.759999999999977</v>
      </c>
      <c r="D63" s="11">
        <f t="shared" si="32"/>
        <v>10.05796057160342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330.52460792114903</v>
      </c>
      <c r="H63" s="67">
        <f t="shared" si="1"/>
        <v>367.90794799554254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3.0375000000000085</v>
      </c>
      <c r="N63" s="13">
        <f>IF('Données projet'!$A$36&gt;35,N62+M63-V62,IF(A63&lt;'Données projet'!$A$36,$K$205^A63,IF(A63='Données projet'!$A$36,'Données projet'!$B$36,N62+M63-V62)))</f>
        <v>403.92500000000047</v>
      </c>
      <c r="O63" s="13">
        <f>N63*VLOOKUP('Données projet'!$B$9,Paramètres!$A$1:$I$89,3,0)*VLOOKUP('Données projet'!$B$9,Paramètres!$A$1:$I$89,5,0)</f>
        <v>241.5471500000003</v>
      </c>
      <c r="P63" s="13">
        <f t="shared" si="33"/>
        <v>58.772282750044901</v>
      </c>
      <c r="Q63" s="20">
        <f t="shared" si="53"/>
        <v>523.05634537299545</v>
      </c>
      <c r="R63" s="59">
        <f t="shared" si="0"/>
        <v>816.38967870632882</v>
      </c>
      <c r="S63" s="59">
        <f ca="1">AVERAGE(OFFSET($R$3,0,0,'Données projet'!$E$9+1,1))-AVERAGE(OFFSET($H$3,0,0,'Données projet'!$E$9+1,1))</f>
        <v>252.28378247570731</v>
      </c>
      <c r="T63" s="59">
        <f t="shared" si="34"/>
        <v>263.50418595307343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16.20686958588556</v>
      </c>
      <c r="AA63" s="21">
        <f>EXP(-LN(2)/25)*AA62+(1-EXP(-LN(2)/25))/(LN(2)/25)*Calculateur!V63*Calculateur!X63*VLOOKUP('Données projet'!$B$9,Paramètres!$A$1:$I$89,3,0)*0.475*44/12</f>
        <v>0</v>
      </c>
      <c r="AB63" s="21">
        <f>EXP(-LN(2)/2)*AB62+(1-EXP(-LN(2)/2))/(LN(2)/2)*V63*Y63*VLOOKUP('Données projet'!$B$9,Paramètres!$A$1:$I$89,3,0)*0.475*44/12</f>
        <v>1.2317188898802807E-3</v>
      </c>
      <c r="AC63" s="22">
        <f t="shared" si="3"/>
        <v>16.20810130477544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>
        <f>VLOOKUP(A63,'Données projet'!$A$61:$I$81,2,0)</f>
        <v>323</v>
      </c>
      <c r="AG63" s="12">
        <f>VLOOKUP(A63,'Données projet'!$A$61:$I$81,9,0)</f>
        <v>9.8000000000000007</v>
      </c>
      <c r="AH63" s="12">
        <f t="array" ref="AH63">INDEX(AG:AG,MIN(IF(ISNUMBER(AG63:AG259),ROW(AG63:AG259),"")))</f>
        <v>9.8000000000000007</v>
      </c>
      <c r="AI63" s="13">
        <f>IF('Données projet'!$A$62&gt;35,AI62+AH63-AQ62,IF(A63&lt;'Données projet'!$A$62,$AF$205^A63,IF(A63='Données projet'!$A$62,'Données projet'!$B$62,AI62+AH63-AQ62)))</f>
        <v>323</v>
      </c>
      <c r="AJ63" s="13">
        <f>AI63*VLOOKUP('Données projet'!$B$10,Paramètres!$A$1:$I$89,3,0)*VLOOKUP('Données projet'!$B$10,Paramètres!$A$1:$I$89,5,0)</f>
        <v>272.09520000000003</v>
      </c>
      <c r="AK63" s="13">
        <f t="shared" si="35"/>
        <v>65.293723364568436</v>
      </c>
      <c r="AL63" s="20">
        <f t="shared" si="4"/>
        <v>587.61904152662339</v>
      </c>
      <c r="AM63" s="59">
        <f t="shared" si="5"/>
        <v>880.95237485995676</v>
      </c>
      <c r="AN63" s="59">
        <f ca="1">AVERAGE(OFFSET($AM$3,0,0,'Données projet'!$E$10+1,1))-AVERAGE(OFFSET($H$3,0,0,'Données projet'!$E$10+1,1))</f>
        <v>382.67703499770795</v>
      </c>
      <c r="AO63" s="59">
        <f t="shared" si="36"/>
        <v>237.98926636458219</v>
      </c>
      <c r="AP63" s="15">
        <f>IF(ISNA(VLOOKUP(A63,'Données projet'!$A$61:$I$81,3,0)),0,VLOOKUP(A63,'Données projet'!$A$61:$I$81,3,0))</f>
        <v>5</v>
      </c>
      <c r="AQ63" s="15">
        <f>IF(ISNA(VLOOKUP(A63,'Données projet'!$A$61:$I$81,4,0)),0,VLOOKUP(A63,'Données projet'!$A$61:$I$81,4,0))</f>
        <v>56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18.395575576794485</v>
      </c>
      <c r="AV63" s="21">
        <f>EXP(-LN(2)/25)*AV62+(1-EXP(-LN(2)/25))/(LN(2)/25)*Calculateur!AQ63*Calculateur!AS63*VLOOKUP('Données projet'!$B$10,Paramètres!$A$1:$I$89,3,0)*0.475*44/12</f>
        <v>0</v>
      </c>
      <c r="AW63" s="21">
        <f>EXP(-LN(2)/2)*AW62+(1-EXP(-LN(2)/2))/(LN(2)/2)*AQ63*AT63*VLOOKUP('Données projet'!$B$10,Paramètres!$A$1:$I$89,3,0)*0.475*44/12</f>
        <v>0</v>
      </c>
      <c r="AX63" s="21">
        <f t="shared" si="6"/>
        <v>18.395575576794485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25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33.305999999999976</v>
      </c>
      <c r="D64" s="11">
        <f t="shared" si="32"/>
        <v>10.205938010999123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335.88162675157207</v>
      </c>
      <c r="H64" s="67">
        <f t="shared" si="1"/>
        <v>369.11662536915674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3.0375000000000085</v>
      </c>
      <c r="N64" s="13">
        <f>IF('Données projet'!$A$36&gt;35,N63+M64-V63,IF(A64&lt;'Données projet'!$A$36,$K$205^A64,IF(A64='Données projet'!$A$36,'Données projet'!$B$36,N63+M64-V63)))</f>
        <v>406.96250000000049</v>
      </c>
      <c r="O64" s="13">
        <f>N64*VLOOKUP('Données projet'!$B$9,Paramètres!$A$1:$I$89,3,0)*VLOOKUP('Données projet'!$B$9,Paramètres!$A$1:$I$89,5,0)</f>
        <v>243.36357500000031</v>
      </c>
      <c r="P64" s="13">
        <f t="shared" si="33"/>
        <v>59.162632795092129</v>
      </c>
      <c r="Q64" s="20">
        <f t="shared" si="53"/>
        <v>526.89981190978597</v>
      </c>
      <c r="R64" s="59">
        <f t="shared" si="0"/>
        <v>820.23314524311922</v>
      </c>
      <c r="S64" s="59">
        <f ca="1">AVERAGE(OFFSET($R$3,0,0,'Données projet'!$E$9+1,1))-AVERAGE(OFFSET($H$3,0,0,'Données projet'!$E$9+1,1))</f>
        <v>252.28378247570731</v>
      </c>
      <c r="T64" s="59">
        <f t="shared" si="34"/>
        <v>263.50418595307343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15.889062758520707</v>
      </c>
      <c r="AA64" s="21">
        <f>EXP(-LN(2)/25)*AA63+(1-EXP(-LN(2)/25))/(LN(2)/25)*Calculateur!V64*Calculateur!X64*VLOOKUP('Données projet'!$B$9,Paramètres!$A$1:$I$89,3,0)*0.475*44/12</f>
        <v>0</v>
      </c>
      <c r="AB64" s="21">
        <f>EXP(-LN(2)/2)*AB63+(1-EXP(-LN(2)/2))/(LN(2)/2)*V64*Y64*VLOOKUP('Données projet'!$B$9,Paramètres!$A$1:$I$89,3,0)*0.475*44/12</f>
        <v>8.7095677954991289E-4</v>
      </c>
      <c r="AC64" s="22">
        <f t="shared" si="3"/>
        <v>15.889933715300257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8.5</v>
      </c>
      <c r="AI64" s="13">
        <f>IF('Données projet'!$A$62&gt;35,AI63+AH64-AQ63,IF(A64&lt;'Données projet'!$A$62,$AF$205^A64,IF(A64='Données projet'!$A$62,'Données projet'!$B$62,AI63+AH64-AQ63)))</f>
        <v>275.5</v>
      </c>
      <c r="AJ64" s="13">
        <f>AI64*VLOOKUP('Données projet'!$B$10,Paramètres!$A$1:$I$89,3,0)*VLOOKUP('Données projet'!$B$10,Paramètres!$A$1:$I$89,5,0)</f>
        <v>232.08120000000002</v>
      </c>
      <c r="AK64" s="13">
        <f t="shared" si="35"/>
        <v>56.732449436321637</v>
      </c>
      <c r="AL64" s="20">
        <f t="shared" si="4"/>
        <v>503.01710610159353</v>
      </c>
      <c r="AM64" s="59">
        <f t="shared" si="5"/>
        <v>796.35043943492678</v>
      </c>
      <c r="AN64" s="59">
        <f ca="1">AVERAGE(OFFSET($AM$3,0,0,'Données projet'!$E$10+1,1))-AVERAGE(OFFSET($H$3,0,0,'Données projet'!$E$10+1,1))</f>
        <v>382.67703499770795</v>
      </c>
      <c r="AO64" s="59">
        <f t="shared" si="36"/>
        <v>237.98926636458219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18.034849559926744</v>
      </c>
      <c r="AV64" s="21">
        <f>EXP(-LN(2)/25)*AV63+(1-EXP(-LN(2)/25))/(LN(2)/25)*Calculateur!AQ64*Calculateur!AS64*VLOOKUP('Données projet'!$B$10,Paramètres!$A$1:$I$89,3,0)*0.475*44/12</f>
        <v>0</v>
      </c>
      <c r="AW64" s="21">
        <f>EXP(-LN(2)/2)*AW63+(1-EXP(-LN(2)/2))/(LN(2)/2)*AQ64*AT64*VLOOKUP('Données projet'!$B$10,Paramètres!$A$1:$I$89,3,0)*0.475*44/12</f>
        <v>0</v>
      </c>
      <c r="AX64" s="21">
        <f t="shared" si="6"/>
        <v>18.034849559926744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25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33.851999999999975</v>
      </c>
      <c r="D65" s="11">
        <f t="shared" si="32"/>
        <v>10.353633336208009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341.23646785844761</v>
      </c>
      <c r="H65" s="67">
        <f t="shared" si="1"/>
        <v>370.32481139389552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>
        <f>VLOOKUP(A65,'Données projet'!$A$35:$I$55,2,0)</f>
        <v>410.00000000000006</v>
      </c>
      <c r="L65" s="12">
        <f>VLOOKUP(A65,'Données projet'!$A$35:$I$55,9,0)</f>
        <v>3.0375000000000085</v>
      </c>
      <c r="M65" s="12">
        <f t="array" ref="M65">INDEX(L:L,MIN(IF(ISNUMBER(L65:L261),ROW(L65:L261),"")))</f>
        <v>3.0375000000000085</v>
      </c>
      <c r="N65" s="13">
        <f>IF('Données projet'!$A$36&gt;35,N64+M65-V64,IF(A65&lt;'Données projet'!$A$36,$K$205^A65,IF(A65='Données projet'!$A$36,'Données projet'!$B$36,N64+M65-V64)))</f>
        <v>410.00000000000051</v>
      </c>
      <c r="O65" s="13">
        <f>N65*VLOOKUP('Données projet'!$B$9,Paramètres!$A$1:$I$89,3,0)*VLOOKUP('Données projet'!$B$9,Paramètres!$A$1:$I$89,5,0)</f>
        <v>245.18000000000032</v>
      </c>
      <c r="P65" s="13">
        <f t="shared" si="33"/>
        <v>59.552643851821543</v>
      </c>
      <c r="Q65" s="20">
        <f t="shared" si="53"/>
        <v>530.74268804192309</v>
      </c>
      <c r="R65" s="59">
        <f t="shared" si="0"/>
        <v>824.07602137525646</v>
      </c>
      <c r="S65" s="59">
        <f ca="1">AVERAGE(OFFSET($R$3,0,0,'Données projet'!$E$9+1,1))-AVERAGE(OFFSET($H$3,0,0,'Données projet'!$E$9+1,1))</f>
        <v>252.28378247570731</v>
      </c>
      <c r="T65" s="59">
        <f t="shared" si="34"/>
        <v>263.50418595307343</v>
      </c>
      <c r="U65" s="15">
        <f>IF(ISNA(VLOOKUP(A65,'Données projet'!$A$35:$I$55,3,0)),0,VLOOKUP(A65,'Données projet'!$A$35:$I$55,3,0))</f>
        <v>10</v>
      </c>
      <c r="V65" s="15">
        <f>IF(ISNA(VLOOKUP(A65,'Données projet'!$A$35:$I$55,4,0)),0,VLOOKUP(A65,'Données projet'!$A$35:$I$55,4,0))</f>
        <v>410.00000000000006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15.577487929197455</v>
      </c>
      <c r="AA65" s="21">
        <f>EXP(-LN(2)/25)*AA64+(1-EXP(-LN(2)/25))/(LN(2)/25)*Calculateur!V65*Calculateur!X65*VLOOKUP('Données projet'!$B$9,Paramètres!$A$1:$I$89,3,0)*0.475*44/12</f>
        <v>0</v>
      </c>
      <c r="AB65" s="21">
        <f>EXP(-LN(2)/2)*AB64+(1-EXP(-LN(2)/2))/(LN(2)/2)*V65*Y65*VLOOKUP('Données projet'!$B$9,Paramètres!$A$1:$I$89,3,0)*0.475*44/12</f>
        <v>6.1585944494014036E-4</v>
      </c>
      <c r="AC65" s="22">
        <f t="shared" si="3"/>
        <v>15.578103788642395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8.5</v>
      </c>
      <c r="AI65" s="13">
        <f>IF('Données projet'!$A$62&gt;35,AI64+AH65-AQ64,IF(A65&lt;'Données projet'!$A$62,$AF$205^A65,IF(A65='Données projet'!$A$62,'Données projet'!$B$62,AI64+AH65-AQ64)))</f>
        <v>284</v>
      </c>
      <c r="AJ65" s="13">
        <f>AI65*VLOOKUP('Données projet'!$B$10,Paramètres!$A$1:$I$89,3,0)*VLOOKUP('Données projet'!$B$10,Paramètres!$A$1:$I$89,5,0)</f>
        <v>239.24160000000003</v>
      </c>
      <c r="AK65" s="13">
        <f t="shared" si="35"/>
        <v>58.276326982845887</v>
      </c>
      <c r="AL65" s="20">
        <f t="shared" si="4"/>
        <v>518.17705616178989</v>
      </c>
      <c r="AM65" s="59">
        <f t="shared" si="5"/>
        <v>811.51038949512326</v>
      </c>
      <c r="AN65" s="59">
        <f ca="1">AVERAGE(OFFSET($AM$3,0,0,'Données projet'!$E$10+1,1))-AVERAGE(OFFSET($H$3,0,0,'Données projet'!$E$10+1,1))</f>
        <v>382.67703499770795</v>
      </c>
      <c r="AO65" s="59">
        <f t="shared" si="36"/>
        <v>237.98926636458219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17.681197160228635</v>
      </c>
      <c r="AV65" s="21">
        <f>EXP(-LN(2)/25)*AV64+(1-EXP(-LN(2)/25))/(LN(2)/25)*Calculateur!AQ65*Calculateur!AS65*VLOOKUP('Données projet'!$B$10,Paramètres!$A$1:$I$89,3,0)*0.475*44/12</f>
        <v>0</v>
      </c>
      <c r="AW65" s="21">
        <f>EXP(-LN(2)/2)*AW64+(1-EXP(-LN(2)/2))/(LN(2)/2)*AQ65*AT65*VLOOKUP('Données projet'!$B$10,Paramètres!$A$1:$I$89,3,0)*0.475*44/12</f>
        <v>0</v>
      </c>
      <c r="AX65" s="21">
        <f t="shared" si="6"/>
        <v>17.681197160228635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25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34.397999999999975</v>
      </c>
      <c r="D66" s="11">
        <f t="shared" si="32"/>
        <v>10.501051622783336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346.58917042148528</v>
      </c>
      <c r="H66" s="67">
        <f t="shared" si="1"/>
        <v>371.53251490968091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4.5474735088646412E-13</v>
      </c>
      <c r="O66" s="13">
        <f>N66*VLOOKUP('Données projet'!$B$9,Paramètres!$A$1:$I$89,3,0)*VLOOKUP('Données projet'!$B$9,Paramètres!$A$1:$I$89,5,0)</f>
        <v>2.7193891583010558E-13</v>
      </c>
      <c r="P66" s="13">
        <f t="shared" si="33"/>
        <v>3.6362267729089988E-12</v>
      </c>
      <c r="Q66" s="20">
        <f t="shared" si="53"/>
        <v>6.8067219078872727E-12</v>
      </c>
      <c r="R66" s="59">
        <f t="shared" si="0"/>
        <v>293.33333333334014</v>
      </c>
      <c r="S66" s="59">
        <f ca="1">AVERAGE(OFFSET($R$3,0,0,'Données projet'!$E$9+1,1))-AVERAGE(OFFSET($H$3,0,0,'Données projet'!$E$9+1,1))</f>
        <v>252.28378247570731</v>
      </c>
      <c r="T66" s="59">
        <f t="shared" si="34"/>
        <v>263.50418595307343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15.27202289223535</v>
      </c>
      <c r="AA66" s="21">
        <f>EXP(-LN(2)/25)*AA65+(1-EXP(-LN(2)/25))/(LN(2)/25)*Calculateur!V66*Calculateur!X66*VLOOKUP('Données projet'!$B$9,Paramètres!$A$1:$I$89,3,0)*0.475*44/12</f>
        <v>0</v>
      </c>
      <c r="AB66" s="21">
        <f>EXP(-LN(2)/2)*AB65+(1-EXP(-LN(2)/2))/(LN(2)/2)*V66*Y66*VLOOKUP('Données projet'!$B$9,Paramètres!$A$1:$I$89,3,0)*0.475*44/12</f>
        <v>4.3547838977495644E-4</v>
      </c>
      <c r="AC66" s="22">
        <f t="shared" si="3"/>
        <v>15.272458370625126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8.5</v>
      </c>
      <c r="AI66" s="13">
        <f>IF('Données projet'!$A$62&gt;35,AI65+AH66-AQ65,IF(A66&lt;'Données projet'!$A$62,$AF$205^A66,IF(A66='Données projet'!$A$62,'Données projet'!$B$62,AI65+AH66-AQ65)))</f>
        <v>292.5</v>
      </c>
      <c r="AJ66" s="13">
        <f>AI66*VLOOKUP('Données projet'!$B$10,Paramètres!$A$1:$I$89,3,0)*VLOOKUP('Données projet'!$B$10,Paramètres!$A$1:$I$89,5,0)</f>
        <v>246.40200000000004</v>
      </c>
      <c r="AK66" s="13">
        <f t="shared" si="35"/>
        <v>59.814834475385524</v>
      </c>
      <c r="AL66" s="20">
        <f t="shared" si="4"/>
        <v>533.3276533779632</v>
      </c>
      <c r="AM66" s="59">
        <f t="shared" si="5"/>
        <v>826.66098671129657</v>
      </c>
      <c r="AN66" s="59">
        <f ca="1">AVERAGE(OFFSET($AM$3,0,0,'Données projet'!$E$10+1,1))-AVERAGE(OFFSET($H$3,0,0,'Données projet'!$E$10+1,1))</f>
        <v>382.67703499770795</v>
      </c>
      <c r="AO66" s="59">
        <f t="shared" si="36"/>
        <v>237.98926636458219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17.334479668381942</v>
      </c>
      <c r="AV66" s="21">
        <f>EXP(-LN(2)/25)*AV65+(1-EXP(-LN(2)/25))/(LN(2)/25)*Calculateur!AQ66*Calculateur!AS66*VLOOKUP('Données projet'!$B$10,Paramètres!$A$1:$I$89,3,0)*0.475*44/12</f>
        <v>0</v>
      </c>
      <c r="AW66" s="21">
        <f>EXP(-LN(2)/2)*AW65+(1-EXP(-LN(2)/2))/(LN(2)/2)*AQ66*AT66*VLOOKUP('Données projet'!$B$10,Paramètres!$A$1:$I$89,3,0)*0.475*44/12</f>
        <v>0</v>
      </c>
      <c r="AX66" s="21">
        <f t="shared" si="6"/>
        <v>17.334479668381942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25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34.943999999999974</v>
      </c>
      <c r="D67" s="11">
        <f t="shared" si="32"/>
        <v>10.648197775908036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351.93977230525485</v>
      </c>
      <c r="H67" s="67">
        <f t="shared" si="1"/>
        <v>372.73974445970646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4.5474735088646412E-13</v>
      </c>
      <c r="O67" s="13">
        <f>N67*VLOOKUP('Données projet'!$B$9,Paramètres!$A$1:$I$89,3,0)*VLOOKUP('Données projet'!$B$9,Paramètres!$A$1:$I$89,5,0)</f>
        <v>2.7193891583010558E-13</v>
      </c>
      <c r="P67" s="13">
        <f t="shared" si="33"/>
        <v>3.6362267729089988E-12</v>
      </c>
      <c r="Q67" s="20">
        <f t="shared" ref="Q67:Q98" si="54">(O67+P67)*0.475*44/12</f>
        <v>6.8067219078872727E-12</v>
      </c>
      <c r="R67" s="59">
        <f t="shared" ref="R67:R130" si="55">Q67+(I67+J67)*44/12</f>
        <v>293.33333333334014</v>
      </c>
      <c r="S67" s="59">
        <f ca="1">AVERAGE(OFFSET($R$3,0,0,'Données projet'!$E$9+1,1))-AVERAGE(OFFSET($H$3,0,0,'Données projet'!$E$9+1,1))</f>
        <v>252.28378247570731</v>
      </c>
      <c r="T67" s="59">
        <f t="shared" si="34"/>
        <v>263.50418595307343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14.972547838332797</v>
      </c>
      <c r="AA67" s="21">
        <f>EXP(-LN(2)/25)*AA66+(1-EXP(-LN(2)/25))/(LN(2)/25)*Calculateur!V67*Calculateur!X67*VLOOKUP('Données projet'!$B$9,Paramètres!$A$1:$I$89,3,0)*0.475*44/12</f>
        <v>0</v>
      </c>
      <c r="AB67" s="21">
        <f>EXP(-LN(2)/2)*AB66+(1-EXP(-LN(2)/2))/(LN(2)/2)*V67*Y67*VLOOKUP('Données projet'!$B$9,Paramètres!$A$1:$I$89,3,0)*0.475*44/12</f>
        <v>3.0792972247007018E-4</v>
      </c>
      <c r="AC67" s="22">
        <f t="shared" si="3"/>
        <v>14.972855768055268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8.5</v>
      </c>
      <c r="AI67" s="13">
        <f>IF('Données projet'!$A$62&gt;35,AI66+AH67-AQ66,IF(A67&lt;'Données projet'!$A$62,$AF$205^A67,IF(A67='Données projet'!$A$62,'Données projet'!$B$62,AI66+AH67-AQ66)))</f>
        <v>301</v>
      </c>
      <c r="AJ67" s="13">
        <f>AI67*VLOOKUP('Données projet'!$B$10,Paramètres!$A$1:$I$89,3,0)*VLOOKUP('Données projet'!$B$10,Paramètres!$A$1:$I$89,5,0)</f>
        <v>253.56240000000005</v>
      </c>
      <c r="AK67" s="13">
        <f t="shared" si="35"/>
        <v>61.348145886656177</v>
      </c>
      <c r="AL67" s="20">
        <f t="shared" si="4"/>
        <v>548.46920075259288</v>
      </c>
      <c r="AM67" s="59">
        <f t="shared" si="5"/>
        <v>841.80253408592625</v>
      </c>
      <c r="AN67" s="59">
        <f ca="1">AVERAGE(OFFSET($AM$3,0,0,'Données projet'!$E$10+1,1))-AVERAGE(OFFSET($H$3,0,0,'Données projet'!$E$10+1,1))</f>
        <v>382.67703499770795</v>
      </c>
      <c r="AO67" s="59">
        <f t="shared" si="36"/>
        <v>237.98926636458219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16.994561095073575</v>
      </c>
      <c r="AV67" s="21">
        <f>EXP(-LN(2)/25)*AV66+(1-EXP(-LN(2)/25))/(LN(2)/25)*Calculateur!AQ67*Calculateur!AS67*VLOOKUP('Données projet'!$B$10,Paramètres!$A$1:$I$89,3,0)*0.475*44/12</f>
        <v>0</v>
      </c>
      <c r="AW67" s="21">
        <f>EXP(-LN(2)/2)*AW66+(1-EXP(-LN(2)/2))/(LN(2)/2)*AQ67*AT67*VLOOKUP('Données projet'!$B$10,Paramètres!$A$1:$I$89,3,0)*0.475*44/12</f>
        <v>0</v>
      </c>
      <c r="AX67" s="21">
        <f t="shared" si="6"/>
        <v>16.994561095073575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25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35.489999999999974</v>
      </c>
      <c r="D68" s="11">
        <f t="shared" si="32"/>
        <v>10.795076538684501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357.28831012317846</v>
      </c>
      <c r="H68" s="67">
        <f t="shared" ref="H68:H131" si="56">(B68+E68+F68)*44/12+(C68+D68)*0.475*44/12</f>
        <v>373.94650830487547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4.5474735088646412E-13</v>
      </c>
      <c r="O68" s="13">
        <f>N68*VLOOKUP('Données projet'!$B$9,Paramètres!$A$1:$I$89,3,0)*VLOOKUP('Données projet'!$B$9,Paramètres!$A$1:$I$89,5,0)</f>
        <v>2.7193891583010558E-13</v>
      </c>
      <c r="P68" s="13">
        <f t="shared" si="33"/>
        <v>3.6362267729089988E-12</v>
      </c>
      <c r="Q68" s="20">
        <f t="shared" si="54"/>
        <v>6.8067219078872727E-12</v>
      </c>
      <c r="R68" s="59">
        <f t="shared" si="55"/>
        <v>293.33333333334014</v>
      </c>
      <c r="S68" s="59">
        <f ca="1">AVERAGE(OFFSET($R$3,0,0,'Données projet'!$E$9+1,1))-AVERAGE(OFFSET($H$3,0,0,'Données projet'!$E$9+1,1))</f>
        <v>252.28378247570731</v>
      </c>
      <c r="T68" s="59">
        <f t="shared" si="34"/>
        <v>263.50418595307343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14.678945307575528</v>
      </c>
      <c r="AA68" s="21">
        <f>EXP(-LN(2)/25)*AA67+(1-EXP(-LN(2)/25))/(LN(2)/25)*Calculateur!V68*Calculateur!X68*VLOOKUP('Données projet'!$B$9,Paramètres!$A$1:$I$89,3,0)*0.475*44/12</f>
        <v>0</v>
      </c>
      <c r="AB68" s="21">
        <f>EXP(-LN(2)/2)*AB67+(1-EXP(-LN(2)/2))/(LN(2)/2)*V68*Y68*VLOOKUP('Données projet'!$B$9,Paramètres!$A$1:$I$89,3,0)*0.475*44/12</f>
        <v>2.1773919488747822E-4</v>
      </c>
      <c r="AC68" s="22">
        <f t="shared" ref="AC68:AC131" si="57">SUM(Z68:AB68)</f>
        <v>14.679163046770416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8.5</v>
      </c>
      <c r="AI68" s="13">
        <f>IF('Données projet'!$A$62&gt;35,AI67+AH68-AQ67,IF(A68&lt;'Données projet'!$A$62,$AF$205^A68,IF(A68='Données projet'!$A$62,'Données projet'!$B$62,AI67+AH68-AQ67)))</f>
        <v>309.5</v>
      </c>
      <c r="AJ68" s="13">
        <f>AI68*VLOOKUP('Données projet'!$B$10,Paramètres!$A$1:$I$89,3,0)*VLOOKUP('Données projet'!$B$10,Paramètres!$A$1:$I$89,5,0)</f>
        <v>260.72280000000006</v>
      </c>
      <c r="AK68" s="13">
        <f t="shared" si="35"/>
        <v>62.87642480471132</v>
      </c>
      <c r="AL68" s="20">
        <f t="shared" ref="AL68:AL131" si="58">(AJ68+AK68)*0.475*44/12</f>
        <v>563.60198320153904</v>
      </c>
      <c r="AM68" s="59">
        <f t="shared" ref="AM68:AM131" si="59">AL68+(AD68+AE68)*44/12</f>
        <v>856.9353165348723</v>
      </c>
      <c r="AN68" s="59">
        <f ca="1">AVERAGE(OFFSET($AM$3,0,0,'Données projet'!$E$10+1,1))-AVERAGE(OFFSET($H$3,0,0,'Données projet'!$E$10+1,1))</f>
        <v>382.67703499770795</v>
      </c>
      <c r="AO68" s="59">
        <f t="shared" si="36"/>
        <v>237.98926636458219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16.661308117657928</v>
      </c>
      <c r="AV68" s="21">
        <f>EXP(-LN(2)/25)*AV67+(1-EXP(-LN(2)/25))/(LN(2)/25)*Calculateur!AQ68*Calculateur!AS68*VLOOKUP('Données projet'!$B$10,Paramètres!$A$1:$I$89,3,0)*0.475*44/12</f>
        <v>0</v>
      </c>
      <c r="AW68" s="21">
        <f>EXP(-LN(2)/2)*AW67+(1-EXP(-LN(2)/2))/(LN(2)/2)*AQ68*AT68*VLOOKUP('Données projet'!$B$10,Paramètres!$A$1:$I$89,3,0)*0.475*44/12</f>
        <v>0</v>
      </c>
      <c r="AX68" s="21">
        <f t="shared" ref="AX68:AX131" si="60">SUM(AU68:AW68)</f>
        <v>16.661308117657928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25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36.035999999999973</v>
      </c>
      <c r="D69" s="11">
        <f t="shared" ref="D69:D132" si="86">IFERROR(EXP(-1.0587+0.8836*LN(C69)+0.284),0)</f>
        <v>10.941692499899732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362.63481929747144</v>
      </c>
      <c r="H69" s="67">
        <f t="shared" si="56"/>
        <v>375.15281443732528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4.5474735088646412E-13</v>
      </c>
      <c r="O69" s="13">
        <f>N69*VLOOKUP('Données projet'!$B$9,Paramètres!$A$1:$I$89,3,0)*VLOOKUP('Données projet'!$B$9,Paramètres!$A$1:$I$89,5,0)</f>
        <v>2.7193891583010558E-13</v>
      </c>
      <c r="P69" s="13">
        <f t="shared" ref="P69:P132" si="87">EXP(-1.0587+0.8836*LN(O69)+0.284)</f>
        <v>3.6362267729089988E-12</v>
      </c>
      <c r="Q69" s="20">
        <f t="shared" si="54"/>
        <v>6.8067219078872727E-12</v>
      </c>
      <c r="R69" s="59">
        <f t="shared" si="55"/>
        <v>293.33333333334014</v>
      </c>
      <c r="S69" s="59">
        <f ca="1">AVERAGE(OFFSET($R$3,0,0,'Données projet'!$E$9+1,1))-AVERAGE(OFFSET($H$3,0,0,'Données projet'!$E$9+1,1))</f>
        <v>252.28378247570731</v>
      </c>
      <c r="T69" s="59">
        <f t="shared" ref="T69:T132" si="88">$T$3</f>
        <v>263.50418595307343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14.391100143366547</v>
      </c>
      <c r="AA69" s="21">
        <f>EXP(-LN(2)/25)*AA68+(1-EXP(-LN(2)/25))/(LN(2)/25)*Calculateur!V69*Calculateur!X69*VLOOKUP('Données projet'!$B$9,Paramètres!$A$1:$I$89,3,0)*0.475*44/12</f>
        <v>0</v>
      </c>
      <c r="AB69" s="21">
        <f>EXP(-LN(2)/2)*AB68+(1-EXP(-LN(2)/2))/(LN(2)/2)*V69*Y69*VLOOKUP('Données projet'!$B$9,Paramètres!$A$1:$I$89,3,0)*0.475*44/12</f>
        <v>1.5396486123503509E-4</v>
      </c>
      <c r="AC69" s="22">
        <f t="shared" si="57"/>
        <v>14.391254108227782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8.5</v>
      </c>
      <c r="AI69" s="13">
        <f>IF('Données projet'!$A$62&gt;35,AI68+AH69-AQ68,IF(A69&lt;'Données projet'!$A$62,$AF$205^A69,IF(A69='Données projet'!$A$62,'Données projet'!$B$62,AI68+AH69-AQ68)))</f>
        <v>318</v>
      </c>
      <c r="AJ69" s="13">
        <f>AI69*VLOOKUP('Données projet'!$B$10,Paramètres!$A$1:$I$89,3,0)*VLOOKUP('Données projet'!$B$10,Paramètres!$A$1:$I$89,5,0)</f>
        <v>267.88319999999999</v>
      </c>
      <c r="AK69" s="13">
        <f t="shared" ref="AK69:AK132" si="89">EXP(-1.0587+0.8836*LN(AJ69)+0.284)</f>
        <v>64.399825320774383</v>
      </c>
      <c r="AL69" s="20">
        <f t="shared" si="58"/>
        <v>578.72626910034865</v>
      </c>
      <c r="AM69" s="59">
        <f t="shared" si="59"/>
        <v>872.0596024336819</v>
      </c>
      <c r="AN69" s="59">
        <f ca="1">AVERAGE(OFFSET($AM$3,0,0,'Données projet'!$E$10+1,1))-AVERAGE(OFFSET($H$3,0,0,'Données projet'!$E$10+1,1))</f>
        <v>382.67703499770795</v>
      </c>
      <c r="AO69" s="59">
        <f t="shared" ref="AO69:AO132" si="90">$AO$3</f>
        <v>237.98926636458219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16.334590027865154</v>
      </c>
      <c r="AV69" s="21">
        <f>EXP(-LN(2)/25)*AV68+(1-EXP(-LN(2)/25))/(LN(2)/25)*Calculateur!AQ69*Calculateur!AS69*VLOOKUP('Données projet'!$B$10,Paramètres!$A$1:$I$89,3,0)*0.475*44/12</f>
        <v>0</v>
      </c>
      <c r="AW69" s="21">
        <f>EXP(-LN(2)/2)*AW68+(1-EXP(-LN(2)/2))/(LN(2)/2)*AQ69*AT69*VLOOKUP('Données projet'!$B$10,Paramètres!$A$1:$I$89,3,0)*0.475*44/12</f>
        <v>0</v>
      </c>
      <c r="AX69" s="21">
        <f t="shared" si="60"/>
        <v>16.334590027865154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25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36.581999999999972</v>
      </c>
      <c r="D70" s="11">
        <f t="shared" si="86"/>
        <v>11.088050101306514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367.97933411534837</v>
      </c>
      <c r="H70" s="67">
        <f t="shared" si="56"/>
        <v>376.3586705931088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4.5474735088646412E-13</v>
      </c>
      <c r="O70" s="13">
        <f>N70*VLOOKUP('Données projet'!$B$9,Paramètres!$A$1:$I$89,3,0)*VLOOKUP('Données projet'!$B$9,Paramètres!$A$1:$I$89,5,0)</f>
        <v>2.7193891583010558E-13</v>
      </c>
      <c r="P70" s="13">
        <f t="shared" si="87"/>
        <v>3.6362267729089988E-12</v>
      </c>
      <c r="Q70" s="20">
        <f t="shared" si="54"/>
        <v>6.8067219078872727E-12</v>
      </c>
      <c r="R70" s="59">
        <f t="shared" si="55"/>
        <v>293.33333333334014</v>
      </c>
      <c r="S70" s="59">
        <f ca="1">AVERAGE(OFFSET($R$3,0,0,'Données projet'!$E$9+1,1))-AVERAGE(OFFSET($H$3,0,0,'Données projet'!$E$9+1,1))</f>
        <v>252.28378247570731</v>
      </c>
      <c r="T70" s="59">
        <f t="shared" si="88"/>
        <v>263.50418595307343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14.108899447259491</v>
      </c>
      <c r="AA70" s="21">
        <f>EXP(-LN(2)/25)*AA69+(1-EXP(-LN(2)/25))/(LN(2)/25)*Calculateur!V70*Calculateur!X70*VLOOKUP('Données projet'!$B$9,Paramètres!$A$1:$I$89,3,0)*0.475*44/12</f>
        <v>0</v>
      </c>
      <c r="AB70" s="21">
        <f>EXP(-LN(2)/2)*AB69+(1-EXP(-LN(2)/2))/(LN(2)/2)*V70*Y70*VLOOKUP('Données projet'!$B$9,Paramètres!$A$1:$I$89,3,0)*0.475*44/12</f>
        <v>1.0886959744373911E-4</v>
      </c>
      <c r="AC70" s="22">
        <f t="shared" si="57"/>
        <v>14.109008316856935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8.5</v>
      </c>
      <c r="AI70" s="13">
        <f>IF('Données projet'!$A$62&gt;35,AI69+AH70-AQ69,IF(A70&lt;'Données projet'!$A$62,$AF$205^A70,IF(A70='Données projet'!$A$62,'Données projet'!$B$62,AI69+AH70-AQ69)))</f>
        <v>326.5</v>
      </c>
      <c r="AJ70" s="13">
        <f>AI70*VLOOKUP('Données projet'!$B$10,Paramètres!$A$1:$I$89,3,0)*VLOOKUP('Données projet'!$B$10,Paramètres!$A$1:$I$89,5,0)</f>
        <v>275.04360000000003</v>
      </c>
      <c r="AK70" s="13">
        <f t="shared" si="89"/>
        <v>65.918492819476043</v>
      </c>
      <c r="AL70" s="20">
        <f t="shared" si="58"/>
        <v>593.84231166058748</v>
      </c>
      <c r="AM70" s="59">
        <f t="shared" si="59"/>
        <v>887.17564499392074</v>
      </c>
      <c r="AN70" s="59">
        <f ca="1">AVERAGE(OFFSET($AM$3,0,0,'Données projet'!$E$10+1,1))-AVERAGE(OFFSET($H$3,0,0,'Données projet'!$E$10+1,1))</f>
        <v>382.67703499770795</v>
      </c>
      <c r="AO70" s="59">
        <f t="shared" si="90"/>
        <v>237.98926636458219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16.014278680534858</v>
      </c>
      <c r="AV70" s="21">
        <f>EXP(-LN(2)/25)*AV69+(1-EXP(-LN(2)/25))/(LN(2)/25)*Calculateur!AQ70*Calculateur!AS70*VLOOKUP('Données projet'!$B$10,Paramètres!$A$1:$I$89,3,0)*0.475*44/12</f>
        <v>0</v>
      </c>
      <c r="AW70" s="21">
        <f>EXP(-LN(2)/2)*AW69+(1-EXP(-LN(2)/2))/(LN(2)/2)*AQ70*AT70*VLOOKUP('Données projet'!$B$10,Paramètres!$A$1:$I$89,3,0)*0.475*44/12</f>
        <v>0</v>
      </c>
      <c r="AX70" s="21">
        <f t="shared" si="60"/>
        <v>16.014278680534858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25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37.127999999999972</v>
      </c>
      <c r="D71" s="11">
        <f t="shared" si="86"/>
        <v>11.234153644457548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373.32188778177738</v>
      </c>
      <c r="H71" s="67">
        <f t="shared" si="56"/>
        <v>377.56408426409683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4.5474735088646412E-13</v>
      </c>
      <c r="O71" s="13">
        <f>N71*VLOOKUP('Données projet'!$B$9,Paramètres!$A$1:$I$89,3,0)*VLOOKUP('Données projet'!$B$9,Paramètres!$A$1:$I$89,5,0)</f>
        <v>2.7193891583010558E-13</v>
      </c>
      <c r="P71" s="13">
        <f t="shared" si="87"/>
        <v>3.6362267729089988E-12</v>
      </c>
      <c r="Q71" s="20">
        <f t="shared" si="54"/>
        <v>6.8067219078872727E-12</v>
      </c>
      <c r="R71" s="59">
        <f t="shared" si="55"/>
        <v>293.33333333334014</v>
      </c>
      <c r="S71" s="59">
        <f ca="1">AVERAGE(OFFSET($R$3,0,0,'Données projet'!$E$9+1,1))-AVERAGE(OFFSET($H$3,0,0,'Données projet'!$E$9+1,1))</f>
        <v>252.28378247570731</v>
      </c>
      <c r="T71" s="59">
        <f t="shared" si="88"/>
        <v>263.50418595307343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13.832232534677665</v>
      </c>
      <c r="AA71" s="21">
        <f>EXP(-LN(2)/25)*AA70+(1-EXP(-LN(2)/25))/(LN(2)/25)*Calculateur!V71*Calculateur!X71*VLOOKUP('Données projet'!$B$9,Paramètres!$A$1:$I$89,3,0)*0.475*44/12</f>
        <v>0</v>
      </c>
      <c r="AB71" s="21">
        <f>EXP(-LN(2)/2)*AB70+(1-EXP(-LN(2)/2))/(LN(2)/2)*V71*Y71*VLOOKUP('Données projet'!$B$9,Paramètres!$A$1:$I$89,3,0)*0.475*44/12</f>
        <v>7.6982430617517544E-5</v>
      </c>
      <c r="AC71" s="22">
        <f t="shared" si="57"/>
        <v>13.832309517108282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8.5</v>
      </c>
      <c r="AI71" s="13">
        <f>IF('Données projet'!$A$62&gt;35,AI70+AH71-AQ70,IF(A71&lt;'Données projet'!$A$62,$AF$205^A71,IF(A71='Données projet'!$A$62,'Données projet'!$B$62,AI70+AH71-AQ70)))</f>
        <v>335</v>
      </c>
      <c r="AJ71" s="13">
        <f>AI71*VLOOKUP('Données projet'!$B$10,Paramètres!$A$1:$I$89,3,0)*VLOOKUP('Données projet'!$B$10,Paramètres!$A$1:$I$89,5,0)</f>
        <v>282.20400000000001</v>
      </c>
      <c r="AK71" s="13">
        <f t="shared" si="89"/>
        <v>67.432564684485186</v>
      </c>
      <c r="AL71" s="20">
        <f t="shared" si="58"/>
        <v>608.9503501588116</v>
      </c>
      <c r="AM71" s="59">
        <f t="shared" si="59"/>
        <v>902.28368349214497</v>
      </c>
      <c r="AN71" s="59">
        <f ca="1">AVERAGE(OFFSET($AM$3,0,0,'Données projet'!$E$10+1,1))-AVERAGE(OFFSET($H$3,0,0,'Données projet'!$E$10+1,1))</f>
        <v>382.67703499770795</v>
      </c>
      <c r="AO71" s="59">
        <f t="shared" si="90"/>
        <v>237.98926636458219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15.700248443355079</v>
      </c>
      <c r="AV71" s="21">
        <f>EXP(-LN(2)/25)*AV70+(1-EXP(-LN(2)/25))/(LN(2)/25)*Calculateur!AQ71*Calculateur!AS71*VLOOKUP('Données projet'!$B$10,Paramètres!$A$1:$I$89,3,0)*0.475*44/12</f>
        <v>0</v>
      </c>
      <c r="AW71" s="21">
        <f>EXP(-LN(2)/2)*AW70+(1-EXP(-LN(2)/2))/(LN(2)/2)*AQ71*AT71*VLOOKUP('Données projet'!$B$10,Paramètres!$A$1:$I$89,3,0)*0.475*44/12</f>
        <v>0</v>
      </c>
      <c r="AX71" s="21">
        <f t="shared" si="60"/>
        <v>15.700248443355079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25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72" s="11">
        <f t="shared" si="86"/>
        <v>11.380007297126165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378.6625124690438</v>
      </c>
      <c r="H72" s="67">
        <f t="shared" si="56"/>
        <v>378.76906270916135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4.5474735088646412E-13</v>
      </c>
      <c r="O72" s="13">
        <f>N72*VLOOKUP('Données projet'!$B$9,Paramètres!$A$1:$I$89,3,0)*VLOOKUP('Données projet'!$B$9,Paramètres!$A$1:$I$89,5,0)</f>
        <v>2.7193891583010558E-13</v>
      </c>
      <c r="P72" s="13">
        <f t="shared" si="87"/>
        <v>3.6362267729089988E-12</v>
      </c>
      <c r="Q72" s="20">
        <f t="shared" si="54"/>
        <v>6.8067219078872727E-12</v>
      </c>
      <c r="R72" s="59">
        <f t="shared" si="55"/>
        <v>293.33333333334014</v>
      </c>
      <c r="S72" s="59">
        <f ca="1">AVERAGE(OFFSET($R$3,0,0,'Données projet'!$E$9+1,1))-AVERAGE(OFFSET($H$3,0,0,'Données projet'!$E$9+1,1))</f>
        <v>252.28378247570731</v>
      </c>
      <c r="T72" s="59">
        <f t="shared" si="88"/>
        <v>263.50418595307343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13.560990891501415</v>
      </c>
      <c r="AA72" s="21">
        <f>EXP(-LN(2)/25)*AA71+(1-EXP(-LN(2)/25))/(LN(2)/25)*Calculateur!V72*Calculateur!X72*VLOOKUP('Données projet'!$B$9,Paramètres!$A$1:$I$89,3,0)*0.475*44/12</f>
        <v>0</v>
      </c>
      <c r="AB72" s="21">
        <f>EXP(-LN(2)/2)*AB71+(1-EXP(-LN(2)/2))/(LN(2)/2)*V72*Y72*VLOOKUP('Données projet'!$B$9,Paramètres!$A$1:$I$89,3,0)*0.475*44/12</f>
        <v>5.4434798721869556E-5</v>
      </c>
      <c r="AC72" s="22">
        <f t="shared" si="57"/>
        <v>13.561045326300137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8.5</v>
      </c>
      <c r="AI72" s="13">
        <f>IF('Données projet'!$A$62&gt;35,AI71+AH72-AQ71,IF(A72&lt;'Données projet'!$A$62,$AF$205^A72,IF(A72='Données projet'!$A$62,'Données projet'!$B$62,AI71+AH72-AQ71)))</f>
        <v>343.5</v>
      </c>
      <c r="AJ72" s="13">
        <f>AI72*VLOOKUP('Données projet'!$B$10,Paramètres!$A$1:$I$89,3,0)*VLOOKUP('Données projet'!$B$10,Paramètres!$A$1:$I$89,5,0)</f>
        <v>289.36440000000005</v>
      </c>
      <c r="AK72" s="13">
        <f t="shared" si="89"/>
        <v>68.942170930507629</v>
      </c>
      <c r="AL72" s="20">
        <f t="shared" si="58"/>
        <v>624.05061103730088</v>
      </c>
      <c r="AM72" s="59">
        <f t="shared" si="59"/>
        <v>917.38394437063425</v>
      </c>
      <c r="AN72" s="59">
        <f ca="1">AVERAGE(OFFSET($AM$3,0,0,'Données projet'!$E$10+1,1))-AVERAGE(OFFSET($H$3,0,0,'Données projet'!$E$10+1,1))</f>
        <v>382.67703499770795</v>
      </c>
      <c r="AO72" s="59">
        <f t="shared" si="90"/>
        <v>237.98926636458219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15.392376147586864</v>
      </c>
      <c r="AV72" s="21">
        <f>EXP(-LN(2)/25)*AV71+(1-EXP(-LN(2)/25))/(LN(2)/25)*Calculateur!AQ72*Calculateur!AS72*VLOOKUP('Données projet'!$B$10,Paramètres!$A$1:$I$89,3,0)*0.475*44/12</f>
        <v>0</v>
      </c>
      <c r="AW72" s="21">
        <f>EXP(-LN(2)/2)*AW71+(1-EXP(-LN(2)/2))/(LN(2)/2)*AQ72*AT72*VLOOKUP('Données projet'!$B$10,Paramètres!$A$1:$I$89,3,0)*0.475*44/12</f>
        <v>0</v>
      </c>
      <c r="AX72" s="21">
        <f t="shared" si="60"/>
        <v>15.392376147586864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25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38.21999999999997</v>
      </c>
      <c r="D73" s="11">
        <f t="shared" si="86"/>
        <v>11.525615099344252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384.00123936335893</v>
      </c>
      <c r="H73" s="67">
        <f t="shared" si="56"/>
        <v>379.97361296469114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4.5474735088646412E-13</v>
      </c>
      <c r="O73" s="13">
        <f>N73*VLOOKUP('Données projet'!$B$9,Paramètres!$A$1:$I$89,3,0)*VLOOKUP('Données projet'!$B$9,Paramètres!$A$1:$I$89,5,0)</f>
        <v>2.7193891583010558E-13</v>
      </c>
      <c r="P73" s="13">
        <f t="shared" si="87"/>
        <v>3.6362267729089988E-12</v>
      </c>
      <c r="Q73" s="20">
        <f t="shared" si="54"/>
        <v>6.8067219078872727E-12</v>
      </c>
      <c r="R73" s="59">
        <f t="shared" si="55"/>
        <v>293.33333333334014</v>
      </c>
      <c r="S73" s="59">
        <f ca="1">AVERAGE(OFFSET($R$3,0,0,'Données projet'!$E$9+1,1))-AVERAGE(OFFSET($H$3,0,0,'Données projet'!$E$9+1,1))</f>
        <v>252.28378247570731</v>
      </c>
      <c r="T73" s="59">
        <f t="shared" si="88"/>
        <v>263.50418595307343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13.295068131506785</v>
      </c>
      <c r="AA73" s="21">
        <f>EXP(-LN(2)/25)*AA72+(1-EXP(-LN(2)/25))/(LN(2)/25)*Calculateur!V73*Calculateur!X73*VLOOKUP('Données projet'!$B$9,Paramètres!$A$1:$I$89,3,0)*0.475*44/12</f>
        <v>0</v>
      </c>
      <c r="AB73" s="21">
        <f>EXP(-LN(2)/2)*AB72+(1-EXP(-LN(2)/2))/(LN(2)/2)*V73*Y73*VLOOKUP('Données projet'!$B$9,Paramètres!$A$1:$I$89,3,0)*0.475*44/12</f>
        <v>3.8491215308758772E-5</v>
      </c>
      <c r="AC73" s="22">
        <f t="shared" si="57"/>
        <v>13.295106622722093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>
        <f>VLOOKUP(A73,'Données projet'!$A$61:$I$81,2,0)</f>
        <v>352</v>
      </c>
      <c r="AG73" s="12">
        <f>VLOOKUP(A73,'Données projet'!$A$61:$I$81,9,0)</f>
        <v>8.5</v>
      </c>
      <c r="AH73" s="12">
        <f t="array" ref="AH73">INDEX(AG:AG,MIN(IF(ISNUMBER(AG73:AG269),ROW(AG73:AG269),"")))</f>
        <v>8.5</v>
      </c>
      <c r="AI73" s="13">
        <f>IF('Données projet'!$A$62&gt;35,AI72+AH73-AQ72,IF(A73&lt;'Données projet'!$A$62,$AF$205^A73,IF(A73='Données projet'!$A$62,'Données projet'!$B$62,AI72+AH73-AQ72)))</f>
        <v>352</v>
      </c>
      <c r="AJ73" s="13">
        <f>AI73*VLOOKUP('Données projet'!$B$10,Paramètres!$A$1:$I$89,3,0)*VLOOKUP('Données projet'!$B$10,Paramètres!$A$1:$I$89,5,0)</f>
        <v>296.52480000000003</v>
      </c>
      <c r="AK73" s="13">
        <f t="shared" si="89"/>
        <v>70.447434770968528</v>
      </c>
      <c r="AL73" s="20">
        <f t="shared" si="58"/>
        <v>639.14330889277016</v>
      </c>
      <c r="AM73" s="59">
        <f t="shared" si="59"/>
        <v>932.47664222610342</v>
      </c>
      <c r="AN73" s="59">
        <f ca="1">AVERAGE(OFFSET($AM$3,0,0,'Données projet'!$E$10+1,1))-AVERAGE(OFFSET($H$3,0,0,'Données projet'!$E$10+1,1))</f>
        <v>382.67703499770795</v>
      </c>
      <c r="AO73" s="59">
        <f t="shared" si="90"/>
        <v>237.98926636458219</v>
      </c>
      <c r="AP73" s="15">
        <f>IF(ISNA(VLOOKUP(A73,'Données projet'!$A$61:$I$81,3,0)),0,VLOOKUP(A73,'Données projet'!$A$61:$I$81,3,0))</f>
        <v>6</v>
      </c>
      <c r="AQ73" s="15">
        <f>IF(ISNA(VLOOKUP(A73,'Données projet'!$A$61:$I$81,4,0)),0,VLOOKUP(A73,'Données projet'!$A$61:$I$81,4,0))</f>
        <v>56</v>
      </c>
      <c r="AR73" s="16">
        <f>IF(ISNA(VLOOKUP(A73,'Données projet'!$A$61:$I$81,5,0)),0%,VLOOKUP(A73,'Données projet'!$A$61:$I$81,5,0)*VLOOKUP('Données projet'!$B$10,Paramètres!$A$1:$I$89,7,0))</f>
        <v>0.43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37.514998844817967</v>
      </c>
      <c r="AV73" s="21">
        <f>EXP(-LN(2)/25)*AV72+(1-EXP(-LN(2)/25))/(LN(2)/25)*Calculateur!AQ73*Calculateur!AS73*VLOOKUP('Données projet'!$B$10,Paramètres!$A$1:$I$89,3,0)*0.475*44/12</f>
        <v>0</v>
      </c>
      <c r="AW73" s="21">
        <f>EXP(-LN(2)/2)*AW72+(1-EXP(-LN(2)/2))/(LN(2)/2)*AQ73*AT73*VLOOKUP('Données projet'!$B$10,Paramètres!$A$1:$I$89,3,0)*0.475*44/12</f>
        <v>0</v>
      </c>
      <c r="AX73" s="21">
        <f t="shared" si="60"/>
        <v>37.514998844817967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25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38.76599999999997</v>
      </c>
      <c r="D74" s="11">
        <f t="shared" si="86"/>
        <v>11.670980969085333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389.33809870872869</v>
      </c>
      <c r="H74" s="67">
        <f t="shared" si="56"/>
        <v>381.17774185449025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4.5474735088646412E-13</v>
      </c>
      <c r="O74" s="13">
        <f>N74*VLOOKUP('Données projet'!$B$9,Paramètres!$A$1:$I$89,3,0)*VLOOKUP('Données projet'!$B$9,Paramètres!$A$1:$I$89,5,0)</f>
        <v>2.7193891583010558E-13</v>
      </c>
      <c r="P74" s="13">
        <f t="shared" si="87"/>
        <v>3.6362267729089988E-12</v>
      </c>
      <c r="Q74" s="20">
        <f t="shared" si="54"/>
        <v>6.8067219078872727E-12</v>
      </c>
      <c r="R74" s="59">
        <f t="shared" si="55"/>
        <v>293.33333333334014</v>
      </c>
      <c r="S74" s="59">
        <f ca="1">AVERAGE(OFFSET($R$3,0,0,'Données projet'!$E$9+1,1))-AVERAGE(OFFSET($H$3,0,0,'Données projet'!$E$9+1,1))</f>
        <v>252.28378247570731</v>
      </c>
      <c r="T74" s="59">
        <f t="shared" si="88"/>
        <v>263.50418595307343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13.034359954638781</v>
      </c>
      <c r="AA74" s="21">
        <f>EXP(-LN(2)/25)*AA73+(1-EXP(-LN(2)/25))/(LN(2)/25)*Calculateur!V74*Calculateur!X74*VLOOKUP('Données projet'!$B$9,Paramètres!$A$1:$I$89,3,0)*0.475*44/12</f>
        <v>0</v>
      </c>
      <c r="AB74" s="21">
        <f>EXP(-LN(2)/2)*AB73+(1-EXP(-LN(2)/2))/(LN(2)/2)*V74*Y74*VLOOKUP('Données projet'!$B$9,Paramètres!$A$1:$I$89,3,0)*0.475*44/12</f>
        <v>2.7217399360934778E-5</v>
      </c>
      <c r="AC74" s="22">
        <f t="shared" si="57"/>
        <v>13.034387172038141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7.4</v>
      </c>
      <c r="AI74" s="13">
        <f>IF('Données projet'!$A$62&gt;35,AI73+AH74-AQ73,IF(A74&lt;'Données projet'!$A$62,$AF$205^A74,IF(A74='Données projet'!$A$62,'Données projet'!$B$62,AI73+AH74-AQ73)))</f>
        <v>303.39999999999998</v>
      </c>
      <c r="AJ74" s="13">
        <f>AI74*VLOOKUP('Données projet'!$B$10,Paramètres!$A$1:$I$89,3,0)*VLOOKUP('Données projet'!$B$10,Paramètres!$A$1:$I$89,5,0)</f>
        <v>255.58416</v>
      </c>
      <c r="AK74" s="13">
        <f t="shared" si="89"/>
        <v>61.780162957746263</v>
      </c>
      <c r="AL74" s="20">
        <f t="shared" si="58"/>
        <v>552.74286248474129</v>
      </c>
      <c r="AM74" s="59">
        <f t="shared" si="59"/>
        <v>846.07619581807467</v>
      </c>
      <c r="AN74" s="59">
        <f ca="1">AVERAGE(OFFSET($AM$3,0,0,'Données projet'!$E$10+1,1))-AVERAGE(OFFSET($H$3,0,0,'Données projet'!$E$10+1,1))</f>
        <v>382.67703499770795</v>
      </c>
      <c r="AO74" s="59">
        <f t="shared" si="90"/>
        <v>237.98926636458219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36.779352599360983</v>
      </c>
      <c r="AV74" s="21">
        <f>EXP(-LN(2)/25)*AV73+(1-EXP(-LN(2)/25))/(LN(2)/25)*Calculateur!AQ74*Calculateur!AS74*VLOOKUP('Données projet'!$B$10,Paramètres!$A$1:$I$89,3,0)*0.475*44/12</f>
        <v>0</v>
      </c>
      <c r="AW74" s="21">
        <f>EXP(-LN(2)/2)*AW73+(1-EXP(-LN(2)/2))/(LN(2)/2)*AQ74*AT74*VLOOKUP('Données projet'!$B$10,Paramètres!$A$1:$I$89,3,0)*0.475*44/12</f>
        <v>0</v>
      </c>
      <c r="AX74" s="21">
        <f t="shared" si="60"/>
        <v>36.779352599360983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25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39.311999999999969</v>
      </c>
      <c r="D75" s="11">
        <f t="shared" si="86"/>
        <v>11.816108707618389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394.67311984828211</v>
      </c>
      <c r="H75" s="67">
        <f t="shared" si="56"/>
        <v>382.38145599910195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4.5474735088646412E-13</v>
      </c>
      <c r="O75" s="13">
        <f>N75*VLOOKUP('Données projet'!$B$9,Paramètres!$A$1:$I$89,3,0)*VLOOKUP('Données projet'!$B$9,Paramètres!$A$1:$I$89,5,0)</f>
        <v>2.7193891583010558E-13</v>
      </c>
      <c r="P75" s="13">
        <f t="shared" si="87"/>
        <v>3.6362267729089988E-12</v>
      </c>
      <c r="Q75" s="20">
        <f t="shared" si="54"/>
        <v>6.8067219078872727E-12</v>
      </c>
      <c r="R75" s="59">
        <f t="shared" si="55"/>
        <v>293.33333333334014</v>
      </c>
      <c r="S75" s="59">
        <f ca="1">AVERAGE(OFFSET($R$3,0,0,'Données projet'!$E$9+1,1))-AVERAGE(OFFSET($H$3,0,0,'Données projet'!$E$9+1,1))</f>
        <v>252.28378247570731</v>
      </c>
      <c r="T75" s="59">
        <f t="shared" si="88"/>
        <v>263.50418595307343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12.778764106102871</v>
      </c>
      <c r="AA75" s="21">
        <f>EXP(-LN(2)/25)*AA74+(1-EXP(-LN(2)/25))/(LN(2)/25)*Calculateur!V75*Calculateur!X75*VLOOKUP('Données projet'!$B$9,Paramètres!$A$1:$I$89,3,0)*0.475*44/12</f>
        <v>0</v>
      </c>
      <c r="AB75" s="21">
        <f>EXP(-LN(2)/2)*AB74+(1-EXP(-LN(2)/2))/(LN(2)/2)*V75*Y75*VLOOKUP('Données projet'!$B$9,Paramètres!$A$1:$I$89,3,0)*0.475*44/12</f>
        <v>1.9245607654379386E-5</v>
      </c>
      <c r="AC75" s="22">
        <f t="shared" si="57"/>
        <v>12.778783351710526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7.4</v>
      </c>
      <c r="AI75" s="13">
        <f>IF('Données projet'!$A$62&gt;35,AI74+AH75-AQ74,IF(A75&lt;'Données projet'!$A$62,$AF$205^A75,IF(A75='Données projet'!$A$62,'Données projet'!$B$62,AI74+AH75-AQ74)))</f>
        <v>310.79999999999995</v>
      </c>
      <c r="AJ75" s="13">
        <f>AI75*VLOOKUP('Données projet'!$B$10,Paramètres!$A$1:$I$89,3,0)*VLOOKUP('Données projet'!$B$10,Paramètres!$A$1:$I$89,5,0)</f>
        <v>261.81792000000002</v>
      </c>
      <c r="AK75" s="13">
        <f t="shared" si="89"/>
        <v>63.109727755181751</v>
      </c>
      <c r="AL75" s="20">
        <f t="shared" si="58"/>
        <v>565.91565317360812</v>
      </c>
      <c r="AM75" s="59">
        <f t="shared" si="59"/>
        <v>859.24898650694149</v>
      </c>
      <c r="AN75" s="59">
        <f ca="1">AVERAGE(OFFSET($AM$3,0,0,'Données projet'!$E$10+1,1))-AVERAGE(OFFSET($H$3,0,0,'Données projet'!$E$10+1,1))</f>
        <v>382.67703499770795</v>
      </c>
      <c r="AO75" s="59">
        <f t="shared" si="90"/>
        <v>237.98926636458219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36.058131928077508</v>
      </c>
      <c r="AV75" s="21">
        <f>EXP(-LN(2)/25)*AV74+(1-EXP(-LN(2)/25))/(LN(2)/25)*Calculateur!AQ75*Calculateur!AS75*VLOOKUP('Données projet'!$B$10,Paramètres!$A$1:$I$89,3,0)*0.475*44/12</f>
        <v>0</v>
      </c>
      <c r="AW75" s="21">
        <f>EXP(-LN(2)/2)*AW74+(1-EXP(-LN(2)/2))/(LN(2)/2)*AQ75*AT75*VLOOKUP('Données projet'!$B$10,Paramètres!$A$1:$I$89,3,0)*0.475*44/12</f>
        <v>0</v>
      </c>
      <c r="AX75" s="21">
        <f t="shared" si="60"/>
        <v>36.058131928077508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25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39.857999999999969</v>
      </c>
      <c r="D76" s="11">
        <f t="shared" si="86"/>
        <v>11.961002004555786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400.00633126323743</v>
      </c>
      <c r="H76" s="67">
        <f t="shared" si="56"/>
        <v>383.58476182460123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4.5474735088646412E-13</v>
      </c>
      <c r="O76" s="13">
        <f>N76*VLOOKUP('Données projet'!$B$9,Paramètres!$A$1:$I$89,3,0)*VLOOKUP('Données projet'!$B$9,Paramètres!$A$1:$I$89,5,0)</f>
        <v>2.7193891583010558E-13</v>
      </c>
      <c r="P76" s="13">
        <f t="shared" si="87"/>
        <v>3.6362267729089988E-12</v>
      </c>
      <c r="Q76" s="20">
        <f t="shared" si="54"/>
        <v>6.8067219078872727E-12</v>
      </c>
      <c r="R76" s="59">
        <f t="shared" si="55"/>
        <v>293.33333333334014</v>
      </c>
      <c r="S76" s="59">
        <f ca="1">AVERAGE(OFFSET($R$3,0,0,'Données projet'!$E$9+1,1))-AVERAGE(OFFSET($H$3,0,0,'Données projet'!$E$9+1,1))</f>
        <v>252.28378247570731</v>
      </c>
      <c r="T76" s="59">
        <f t="shared" si="88"/>
        <v>263.50418595307343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12.528180336258679</v>
      </c>
      <c r="AA76" s="21">
        <f>EXP(-LN(2)/25)*AA75+(1-EXP(-LN(2)/25))/(LN(2)/25)*Calculateur!V76*Calculateur!X76*VLOOKUP('Données projet'!$B$9,Paramètres!$A$1:$I$89,3,0)*0.475*44/12</f>
        <v>0</v>
      </c>
      <c r="AB76" s="21">
        <f>EXP(-LN(2)/2)*AB75+(1-EXP(-LN(2)/2))/(LN(2)/2)*V76*Y76*VLOOKUP('Données projet'!$B$9,Paramètres!$A$1:$I$89,3,0)*0.475*44/12</f>
        <v>1.3608699680467389E-5</v>
      </c>
      <c r="AC76" s="22">
        <f t="shared" si="57"/>
        <v>12.528193944958359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7.4</v>
      </c>
      <c r="AI76" s="13">
        <f>IF('Données projet'!$A$62&gt;35,AI75+AH76-AQ75,IF(A76&lt;'Données projet'!$A$62,$AF$205^A76,IF(A76='Données projet'!$A$62,'Données projet'!$B$62,AI75+AH76-AQ75)))</f>
        <v>318.19999999999993</v>
      </c>
      <c r="AJ76" s="13">
        <f>AI76*VLOOKUP('Données projet'!$B$10,Paramètres!$A$1:$I$89,3,0)*VLOOKUP('Données projet'!$B$10,Paramètres!$A$1:$I$89,5,0)</f>
        <v>268.05167999999998</v>
      </c>
      <c r="AK76" s="13">
        <f t="shared" si="89"/>
        <v>64.435612492630426</v>
      </c>
      <c r="AL76" s="20">
        <f t="shared" si="58"/>
        <v>579.08203442466458</v>
      </c>
      <c r="AM76" s="59">
        <f t="shared" si="59"/>
        <v>872.41536775799796</v>
      </c>
      <c r="AN76" s="59">
        <f ca="1">AVERAGE(OFFSET($AM$3,0,0,'Données projet'!$E$10+1,1))-AVERAGE(OFFSET($H$3,0,0,'Données projet'!$E$10+1,1))</f>
        <v>382.67703499770795</v>
      </c>
      <c r="AO76" s="59">
        <f t="shared" si="90"/>
        <v>237.98926636458219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35.351053954256727</v>
      </c>
      <c r="AV76" s="21">
        <f>EXP(-LN(2)/25)*AV75+(1-EXP(-LN(2)/25))/(LN(2)/25)*Calculateur!AQ76*Calculateur!AS76*VLOOKUP('Données projet'!$B$10,Paramètres!$A$1:$I$89,3,0)*0.475*44/12</f>
        <v>0</v>
      </c>
      <c r="AW76" s="21">
        <f>EXP(-LN(2)/2)*AW75+(1-EXP(-LN(2)/2))/(LN(2)/2)*AQ76*AT76*VLOOKUP('Données projet'!$B$10,Paramètres!$A$1:$I$89,3,0)*0.475*44/12</f>
        <v>0</v>
      </c>
      <c r="AX76" s="21">
        <f t="shared" si="60"/>
        <v>35.351053954256727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25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40.403999999999968</v>
      </c>
      <c r="D77" s="11">
        <f t="shared" si="86"/>
        <v>12.105664442616701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405.33776060967256</v>
      </c>
      <c r="H77" s="67">
        <f t="shared" si="56"/>
        <v>384.78766557089068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4.5474735088646412E-13</v>
      </c>
      <c r="O77" s="13">
        <f>N77*VLOOKUP('Données projet'!$B$9,Paramètres!$A$1:$I$89,3,0)*VLOOKUP('Données projet'!$B$9,Paramètres!$A$1:$I$89,5,0)</f>
        <v>2.7193891583010558E-13</v>
      </c>
      <c r="P77" s="13">
        <f t="shared" si="87"/>
        <v>3.6362267729089988E-12</v>
      </c>
      <c r="Q77" s="20">
        <f t="shared" si="54"/>
        <v>6.8067219078872727E-12</v>
      </c>
      <c r="R77" s="59">
        <f t="shared" si="55"/>
        <v>293.33333333334014</v>
      </c>
      <c r="S77" s="59">
        <f ca="1">AVERAGE(OFFSET($R$3,0,0,'Données projet'!$E$9+1,1))-AVERAGE(OFFSET($H$3,0,0,'Données projet'!$E$9+1,1))</f>
        <v>252.28378247570731</v>
      </c>
      <c r="T77" s="59">
        <f t="shared" si="88"/>
        <v>263.50418595307343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12.282510361300123</v>
      </c>
      <c r="AA77" s="21">
        <f>EXP(-LN(2)/25)*AA76+(1-EXP(-LN(2)/25))/(LN(2)/25)*Calculateur!V77*Calculateur!X77*VLOOKUP('Données projet'!$B$9,Paramètres!$A$1:$I$89,3,0)*0.475*44/12</f>
        <v>0</v>
      </c>
      <c r="AB77" s="21">
        <f>EXP(-LN(2)/2)*AB76+(1-EXP(-LN(2)/2))/(LN(2)/2)*V77*Y77*VLOOKUP('Données projet'!$B$9,Paramètres!$A$1:$I$89,3,0)*0.475*44/12</f>
        <v>9.622803827189693E-6</v>
      </c>
      <c r="AC77" s="22">
        <f t="shared" si="57"/>
        <v>12.282519984103949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7.4</v>
      </c>
      <c r="AI77" s="13">
        <f>IF('Données projet'!$A$62&gt;35,AI76+AH77-AQ76,IF(A77&lt;'Données projet'!$A$62,$AF$205^A77,IF(A77='Données projet'!$A$62,'Données projet'!$B$62,AI76+AH77-AQ76)))</f>
        <v>325.59999999999991</v>
      </c>
      <c r="AJ77" s="13">
        <f>AI77*VLOOKUP('Données projet'!$B$10,Paramètres!$A$1:$I$89,3,0)*VLOOKUP('Données projet'!$B$10,Paramètres!$A$1:$I$89,5,0)</f>
        <v>274.28543999999994</v>
      </c>
      <c r="AK77" s="13">
        <f t="shared" si="89"/>
        <v>65.75791260290552</v>
      </c>
      <c r="AL77" s="20">
        <f t="shared" si="58"/>
        <v>592.24217245006037</v>
      </c>
      <c r="AM77" s="59">
        <f t="shared" si="59"/>
        <v>885.57550578339374</v>
      </c>
      <c r="AN77" s="59">
        <f ca="1">AVERAGE(OFFSET($AM$3,0,0,'Données projet'!$E$10+1,1))-AVERAGE(OFFSET($H$3,0,0,'Données projet'!$E$10+1,1))</f>
        <v>382.67703499770795</v>
      </c>
      <c r="AO77" s="59">
        <f t="shared" si="90"/>
        <v>237.98926636458219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34.657841348227592</v>
      </c>
      <c r="AV77" s="21">
        <f>EXP(-LN(2)/25)*AV76+(1-EXP(-LN(2)/25))/(LN(2)/25)*Calculateur!AQ77*Calculateur!AS77*VLOOKUP('Données projet'!$B$10,Paramètres!$A$1:$I$89,3,0)*0.475*44/12</f>
        <v>0</v>
      </c>
      <c r="AW77" s="21">
        <f>EXP(-LN(2)/2)*AW76+(1-EXP(-LN(2)/2))/(LN(2)/2)*AQ77*AT77*VLOOKUP('Données projet'!$B$10,Paramètres!$A$1:$I$89,3,0)*0.475*44/12</f>
        <v>0</v>
      </c>
      <c r="AX77" s="21">
        <f t="shared" si="60"/>
        <v>34.657841348227592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25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40.949999999999967</v>
      </c>
      <c r="D78" s="11">
        <f t="shared" si="86"/>
        <v>12.250099502125838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410.66743475325188</v>
      </c>
      <c r="H78" s="67">
        <f t="shared" si="56"/>
        <v>385.99017329953574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4.5474735088646412E-13</v>
      </c>
      <c r="O78" s="13">
        <f>N78*VLOOKUP('Données projet'!$B$9,Paramètres!$A$1:$I$89,3,0)*VLOOKUP('Données projet'!$B$9,Paramètres!$A$1:$I$89,5,0)</f>
        <v>2.7193891583010558E-13</v>
      </c>
      <c r="P78" s="13">
        <f t="shared" si="87"/>
        <v>3.6362267729089988E-12</v>
      </c>
      <c r="Q78" s="20">
        <f t="shared" si="54"/>
        <v>6.8067219078872727E-12</v>
      </c>
      <c r="R78" s="59">
        <f t="shared" si="55"/>
        <v>293.33333333334014</v>
      </c>
      <c r="S78" s="59">
        <f ca="1">AVERAGE(OFFSET($R$3,0,0,'Données projet'!$E$9+1,1))-AVERAGE(OFFSET($H$3,0,0,'Données projet'!$E$9+1,1))</f>
        <v>252.28378247570731</v>
      </c>
      <c r="T78" s="59">
        <f t="shared" si="88"/>
        <v>263.50418595307343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12.041657824706615</v>
      </c>
      <c r="AA78" s="21">
        <f>EXP(-LN(2)/25)*AA77+(1-EXP(-LN(2)/25))/(LN(2)/25)*Calculateur!V78*Calculateur!X78*VLOOKUP('Données projet'!$B$9,Paramètres!$A$1:$I$89,3,0)*0.475*44/12</f>
        <v>0</v>
      </c>
      <c r="AB78" s="21">
        <f>EXP(-LN(2)/2)*AB77+(1-EXP(-LN(2)/2))/(LN(2)/2)*V78*Y78*VLOOKUP('Données projet'!$B$9,Paramètres!$A$1:$I$89,3,0)*0.475*44/12</f>
        <v>6.8043498402336945E-6</v>
      </c>
      <c r="AC78" s="22">
        <f t="shared" si="57"/>
        <v>12.041664629056456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7.4</v>
      </c>
      <c r="AI78" s="13">
        <f>IF('Données projet'!$A$62&gt;35,AI77+AH78-AQ77,IF(A78&lt;'Données projet'!$A$62,$AF$205^A78,IF(A78='Données projet'!$A$62,'Données projet'!$B$62,AI77+AH78-AQ77)))</f>
        <v>332.99999999999989</v>
      </c>
      <c r="AJ78" s="13">
        <f>AI78*VLOOKUP('Données projet'!$B$10,Paramètres!$A$1:$I$89,3,0)*VLOOKUP('Données projet'!$B$10,Paramètres!$A$1:$I$89,5,0)</f>
        <v>280.5191999999999</v>
      </c>
      <c r="AK78" s="13">
        <f t="shared" si="89"/>
        <v>67.076718933381159</v>
      </c>
      <c r="AL78" s="20">
        <f t="shared" si="58"/>
        <v>605.39622547563874</v>
      </c>
      <c r="AM78" s="59">
        <f t="shared" si="59"/>
        <v>898.72955880897212</v>
      </c>
      <c r="AN78" s="59">
        <f ca="1">AVERAGE(OFFSET($AM$3,0,0,'Données projet'!$E$10+1,1))-AVERAGE(OFFSET($H$3,0,0,'Données projet'!$E$10+1,1))</f>
        <v>382.67703499770795</v>
      </c>
      <c r="AO78" s="59">
        <f t="shared" si="90"/>
        <v>237.98926636458219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33.978222218584747</v>
      </c>
      <c r="AV78" s="21">
        <f>EXP(-LN(2)/25)*AV77+(1-EXP(-LN(2)/25))/(LN(2)/25)*Calculateur!AQ78*Calculateur!AS78*VLOOKUP('Données projet'!$B$10,Paramètres!$A$1:$I$89,3,0)*0.475*44/12</f>
        <v>0</v>
      </c>
      <c r="AW78" s="21">
        <f>EXP(-LN(2)/2)*AW77+(1-EXP(-LN(2)/2))/(LN(2)/2)*AQ78*AT78*VLOOKUP('Données projet'!$B$10,Paramètres!$A$1:$I$89,3,0)*0.475*44/12</f>
        <v>0</v>
      </c>
      <c r="AX78" s="21">
        <f t="shared" si="60"/>
        <v>33.978222218584747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25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41.495999999999967</v>
      </c>
      <c r="D79" s="11">
        <f t="shared" si="86"/>
        <v>12.394310565265254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415.99537980204735</v>
      </c>
      <c r="H79" s="67">
        <f t="shared" si="56"/>
        <v>387.19229090117022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4.5474735088646412E-13</v>
      </c>
      <c r="O79" s="13">
        <f>N79*VLOOKUP('Données projet'!$B$9,Paramètres!$A$1:$I$89,3,0)*VLOOKUP('Données projet'!$B$9,Paramètres!$A$1:$I$89,5,0)</f>
        <v>2.7193891583010558E-13</v>
      </c>
      <c r="P79" s="13">
        <f t="shared" si="87"/>
        <v>3.6362267729089988E-12</v>
      </c>
      <c r="Q79" s="20">
        <f t="shared" si="54"/>
        <v>6.8067219078872727E-12</v>
      </c>
      <c r="R79" s="59">
        <f t="shared" si="55"/>
        <v>293.33333333334014</v>
      </c>
      <c r="S79" s="59">
        <f ca="1">AVERAGE(OFFSET($R$3,0,0,'Données projet'!$E$9+1,1))-AVERAGE(OFFSET($H$3,0,0,'Données projet'!$E$9+1,1))</f>
        <v>252.28378247570731</v>
      </c>
      <c r="T79" s="59">
        <f t="shared" si="88"/>
        <v>263.50418595307343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11.805528259450163</v>
      </c>
      <c r="AA79" s="21">
        <f>EXP(-LN(2)/25)*AA78+(1-EXP(-LN(2)/25))/(LN(2)/25)*Calculateur!V79*Calculateur!X79*VLOOKUP('Données projet'!$B$9,Paramètres!$A$1:$I$89,3,0)*0.475*44/12</f>
        <v>0</v>
      </c>
      <c r="AB79" s="21">
        <f>EXP(-LN(2)/2)*AB78+(1-EXP(-LN(2)/2))/(LN(2)/2)*V79*Y79*VLOOKUP('Données projet'!$B$9,Paramètres!$A$1:$I$89,3,0)*0.475*44/12</f>
        <v>4.8114019135948465E-6</v>
      </c>
      <c r="AC79" s="22">
        <f t="shared" si="57"/>
        <v>11.805533070852077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7.4</v>
      </c>
      <c r="AI79" s="13">
        <f>IF('Données projet'!$A$62&gt;35,AI78+AH79-AQ78,IF(A79&lt;'Données projet'!$A$62,$AF$205^A79,IF(A79='Données projet'!$A$62,'Données projet'!$B$62,AI78+AH79-AQ78)))</f>
        <v>340.39999999999986</v>
      </c>
      <c r="AJ79" s="13">
        <f>AI79*VLOOKUP('Données projet'!$B$10,Paramètres!$A$1:$I$89,3,0)*VLOOKUP('Données projet'!$B$10,Paramètres!$A$1:$I$89,5,0)</f>
        <v>286.75295999999992</v>
      </c>
      <c r="AK79" s="13">
        <f t="shared" si="89"/>
        <v>68.392118063243558</v>
      </c>
      <c r="AL79" s="20">
        <f t="shared" si="58"/>
        <v>618.54434429348237</v>
      </c>
      <c r="AM79" s="59">
        <f t="shared" si="59"/>
        <v>911.87767762681574</v>
      </c>
      <c r="AN79" s="59">
        <f ca="1">AVERAGE(OFFSET($AM$3,0,0,'Données projet'!$E$10+1,1))-AVERAGE(OFFSET($H$3,0,0,'Données projet'!$E$10+1,1))</f>
        <v>382.67703499770795</v>
      </c>
      <c r="AO79" s="59">
        <f t="shared" si="90"/>
        <v>237.98926636458219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33.31193000554746</v>
      </c>
      <c r="AV79" s="21">
        <f>EXP(-LN(2)/25)*AV78+(1-EXP(-LN(2)/25))/(LN(2)/25)*Calculateur!AQ79*Calculateur!AS79*VLOOKUP('Données projet'!$B$10,Paramètres!$A$1:$I$89,3,0)*0.475*44/12</f>
        <v>0</v>
      </c>
      <c r="AW79" s="21">
        <f>EXP(-LN(2)/2)*AW78+(1-EXP(-LN(2)/2))/(LN(2)/2)*AQ79*AT79*VLOOKUP('Données projet'!$B$10,Paramètres!$A$1:$I$89,3,0)*0.475*44/12</f>
        <v>0</v>
      </c>
      <c r="AX79" s="21">
        <f t="shared" si="60"/>
        <v>33.31193000554746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25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42.041999999999966</v>
      </c>
      <c r="D80" s="11">
        <f t="shared" si="86"/>
        <v>12.538300920096166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421.32162113758426</v>
      </c>
      <c r="H80" s="67">
        <f t="shared" si="56"/>
        <v>388.39402410250074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4.5474735088646412E-13</v>
      </c>
      <c r="O80" s="13">
        <f>N80*VLOOKUP('Données projet'!$B$9,Paramètres!$A$1:$I$89,3,0)*VLOOKUP('Données projet'!$B$9,Paramètres!$A$1:$I$89,5,0)</f>
        <v>2.7193891583010558E-13</v>
      </c>
      <c r="P80" s="13">
        <f t="shared" si="87"/>
        <v>3.6362267729089988E-12</v>
      </c>
      <c r="Q80" s="20">
        <f t="shared" si="54"/>
        <v>6.8067219078872727E-12</v>
      </c>
      <c r="R80" s="59">
        <f t="shared" si="55"/>
        <v>293.33333333334014</v>
      </c>
      <c r="S80" s="59">
        <f ca="1">AVERAGE(OFFSET($R$3,0,0,'Données projet'!$E$9+1,1))-AVERAGE(OFFSET($H$3,0,0,'Données projet'!$E$9+1,1))</f>
        <v>252.28378247570731</v>
      </c>
      <c r="T80" s="59">
        <f t="shared" si="88"/>
        <v>263.50418595307343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11.574029050943578</v>
      </c>
      <c r="AA80" s="21">
        <f>EXP(-LN(2)/25)*AA79+(1-EXP(-LN(2)/25))/(LN(2)/25)*Calculateur!V80*Calculateur!X80*VLOOKUP('Données projet'!$B$9,Paramètres!$A$1:$I$89,3,0)*0.475*44/12</f>
        <v>0</v>
      </c>
      <c r="AB80" s="21">
        <f>EXP(-LN(2)/2)*AB79+(1-EXP(-LN(2)/2))/(LN(2)/2)*V80*Y80*VLOOKUP('Données projet'!$B$9,Paramètres!$A$1:$I$89,3,0)*0.475*44/12</f>
        <v>3.4021749201168472E-6</v>
      </c>
      <c r="AC80" s="22">
        <f t="shared" si="57"/>
        <v>11.574032453118498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7.4</v>
      </c>
      <c r="AI80" s="13">
        <f>IF('Données projet'!$A$62&gt;35,AI79+AH80-AQ79,IF(A80&lt;'Données projet'!$A$62,$AF$205^A80,IF(A80='Données projet'!$A$62,'Données projet'!$B$62,AI79+AH80-AQ79)))</f>
        <v>347.79999999999984</v>
      </c>
      <c r="AJ80" s="13">
        <f>AI80*VLOOKUP('Données projet'!$B$10,Paramètres!$A$1:$I$89,3,0)*VLOOKUP('Données projet'!$B$10,Paramètres!$A$1:$I$89,5,0)</f>
        <v>292.98671999999988</v>
      </c>
      <c r="AK80" s="13">
        <f t="shared" si="89"/>
        <v>69.704192592377339</v>
      </c>
      <c r="AL80" s="20">
        <f t="shared" si="58"/>
        <v>631.6866727650571</v>
      </c>
      <c r="AM80" s="59">
        <f t="shared" si="59"/>
        <v>925.02000609839047</v>
      </c>
      <c r="AN80" s="59">
        <f ca="1">AVERAGE(OFFSET($AM$3,0,0,'Données projet'!$E$10+1,1))-AVERAGE(OFFSET($H$3,0,0,'Données projet'!$E$10+1,1))</f>
        <v>382.67703499770795</v>
      </c>
      <c r="AO80" s="59">
        <f t="shared" si="90"/>
        <v>237.98926636458219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32.658703376409711</v>
      </c>
      <c r="AV80" s="21">
        <f>EXP(-LN(2)/25)*AV79+(1-EXP(-LN(2)/25))/(LN(2)/25)*Calculateur!AQ80*Calculateur!AS80*VLOOKUP('Données projet'!$B$10,Paramètres!$A$1:$I$89,3,0)*0.475*44/12</f>
        <v>0</v>
      </c>
      <c r="AW80" s="21">
        <f>EXP(-LN(2)/2)*AW79+(1-EXP(-LN(2)/2))/(LN(2)/2)*AQ80*AT80*VLOOKUP('Données projet'!$B$10,Paramètres!$A$1:$I$89,3,0)*0.475*44/12</f>
        <v>0</v>
      </c>
      <c r="AX80" s="21">
        <f t="shared" si="60"/>
        <v>32.658703376409711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25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42.587999999999965</v>
      </c>
      <c r="D81" s="11">
        <f t="shared" si="86"/>
        <v>12.682073764365757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426.64618344422661</v>
      </c>
      <c r="H81" s="67">
        <f t="shared" si="56"/>
        <v>389.59537847293694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4.5474735088646412E-13</v>
      </c>
      <c r="O81" s="13">
        <f>N81*VLOOKUP('Données projet'!$B$9,Paramètres!$A$1:$I$89,3,0)*VLOOKUP('Données projet'!$B$9,Paramètres!$A$1:$I$89,5,0)</f>
        <v>2.7193891583010558E-13</v>
      </c>
      <c r="P81" s="13">
        <f t="shared" si="87"/>
        <v>3.6362267729089988E-12</v>
      </c>
      <c r="Q81" s="20">
        <f t="shared" si="54"/>
        <v>6.8067219078872727E-12</v>
      </c>
      <c r="R81" s="59">
        <f t="shared" si="55"/>
        <v>293.33333333334014</v>
      </c>
      <c r="S81" s="59">
        <f ca="1">AVERAGE(OFFSET($R$3,0,0,'Données projet'!$E$9+1,1))-AVERAGE(OFFSET($H$3,0,0,'Données projet'!$E$9+1,1))</f>
        <v>252.28378247570731</v>
      </c>
      <c r="T81" s="59">
        <f t="shared" si="88"/>
        <v>263.50418595307343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11.347069400715231</v>
      </c>
      <c r="AA81" s="21">
        <f>EXP(-LN(2)/25)*AA80+(1-EXP(-LN(2)/25))/(LN(2)/25)*Calculateur!V81*Calculateur!X81*VLOOKUP('Données projet'!$B$9,Paramètres!$A$1:$I$89,3,0)*0.475*44/12</f>
        <v>0</v>
      </c>
      <c r="AB81" s="21">
        <f>EXP(-LN(2)/2)*AB80+(1-EXP(-LN(2)/2))/(LN(2)/2)*V81*Y81*VLOOKUP('Données projet'!$B$9,Paramètres!$A$1:$I$89,3,0)*0.475*44/12</f>
        <v>2.4057009567974233E-6</v>
      </c>
      <c r="AC81" s="22">
        <f t="shared" si="57"/>
        <v>11.347071806416189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7.4</v>
      </c>
      <c r="AI81" s="13">
        <f>IF('Données projet'!$A$62&gt;35,AI80+AH81-AQ80,IF(A81&lt;'Données projet'!$A$62,$AF$205^A81,IF(A81='Données projet'!$A$62,'Données projet'!$B$62,AI80+AH81-AQ80)))</f>
        <v>355.19999999999982</v>
      </c>
      <c r="AJ81" s="13">
        <f>AI81*VLOOKUP('Données projet'!$B$10,Paramètres!$A$1:$I$89,3,0)*VLOOKUP('Données projet'!$B$10,Paramètres!$A$1:$I$89,5,0)</f>
        <v>299.22047999999984</v>
      </c>
      <c r="AK81" s="13">
        <f t="shared" si="89"/>
        <v>71.013021404971994</v>
      </c>
      <c r="AL81" s="20">
        <f t="shared" si="58"/>
        <v>644.82334828032594</v>
      </c>
      <c r="AM81" s="59">
        <f t="shared" si="59"/>
        <v>938.1566816136592</v>
      </c>
      <c r="AN81" s="59">
        <f ca="1">AVERAGE(OFFSET($AM$3,0,0,'Données projet'!$E$10+1,1))-AVERAGE(OFFSET($H$3,0,0,'Données projet'!$E$10+1,1))</f>
        <v>382.67703499770795</v>
      </c>
      <c r="AO81" s="59">
        <f t="shared" si="90"/>
        <v>237.98926636458219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32.018286123040454</v>
      </c>
      <c r="AV81" s="21">
        <f>EXP(-LN(2)/25)*AV80+(1-EXP(-LN(2)/25))/(LN(2)/25)*Calculateur!AQ81*Calculateur!AS81*VLOOKUP('Données projet'!$B$10,Paramètres!$A$1:$I$89,3,0)*0.475*44/12</f>
        <v>0</v>
      </c>
      <c r="AW81" s="21">
        <f>EXP(-LN(2)/2)*AW80+(1-EXP(-LN(2)/2))/(LN(2)/2)*AQ81*AT81*VLOOKUP('Données projet'!$B$10,Paramètres!$A$1:$I$89,3,0)*0.475*44/12</f>
        <v>0</v>
      </c>
      <c r="AX81" s="21">
        <f t="shared" si="60"/>
        <v>32.018286123040454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25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43.133999999999965</v>
      </c>
      <c r="D82" s="11">
        <f t="shared" si="86"/>
        <v>12.82563220911333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431.96909073701494</v>
      </c>
      <c r="H82" s="67">
        <f t="shared" si="56"/>
        <v>390.79635943087231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4.5474735088646412E-13</v>
      </c>
      <c r="O82" s="13">
        <f>N82*VLOOKUP('Données projet'!$B$9,Paramètres!$A$1:$I$89,3,0)*VLOOKUP('Données projet'!$B$9,Paramètres!$A$1:$I$89,5,0)</f>
        <v>2.7193891583010558E-13</v>
      </c>
      <c r="P82" s="13">
        <f t="shared" si="87"/>
        <v>3.6362267729089988E-12</v>
      </c>
      <c r="Q82" s="20">
        <f t="shared" si="54"/>
        <v>6.8067219078872727E-12</v>
      </c>
      <c r="R82" s="59">
        <f t="shared" si="55"/>
        <v>293.33333333334014</v>
      </c>
      <c r="S82" s="59">
        <f ca="1">AVERAGE(OFFSET($R$3,0,0,'Données projet'!$E$9+1,1))-AVERAGE(OFFSET($H$3,0,0,'Données projet'!$E$9+1,1))</f>
        <v>252.28378247570731</v>
      </c>
      <c r="T82" s="59">
        <f t="shared" si="88"/>
        <v>263.50418595307343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11.124560290796145</v>
      </c>
      <c r="AA82" s="21">
        <f>EXP(-LN(2)/25)*AA81+(1-EXP(-LN(2)/25))/(LN(2)/25)*Calculateur!V82*Calculateur!X82*VLOOKUP('Données projet'!$B$9,Paramètres!$A$1:$I$89,3,0)*0.475*44/12</f>
        <v>0</v>
      </c>
      <c r="AB82" s="21">
        <f>EXP(-LN(2)/2)*AB81+(1-EXP(-LN(2)/2))/(LN(2)/2)*V82*Y82*VLOOKUP('Données projet'!$B$9,Paramètres!$A$1:$I$89,3,0)*0.475*44/12</f>
        <v>1.7010874600584236E-6</v>
      </c>
      <c r="AC82" s="22">
        <f t="shared" si="57"/>
        <v>11.124561991883605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7.4</v>
      </c>
      <c r="AI82" s="13">
        <f>IF('Données projet'!$A$62&gt;35,AI81+AH82-AQ81,IF(A82&lt;'Données projet'!$A$62,$AF$205^A82,IF(A82='Données projet'!$A$62,'Données projet'!$B$62,AI81+AH82-AQ81)))</f>
        <v>362.5999999999998</v>
      </c>
      <c r="AJ82" s="13">
        <f>AI82*VLOOKUP('Données projet'!$B$10,Paramètres!$A$1:$I$89,3,0)*VLOOKUP('Données projet'!$B$10,Paramètres!$A$1:$I$89,5,0)</f>
        <v>305.45423999999986</v>
      </c>
      <c r="AK82" s="13">
        <f t="shared" si="89"/>
        <v>72.318679910540808</v>
      </c>
      <c r="AL82" s="20">
        <f t="shared" si="58"/>
        <v>657.954502177525</v>
      </c>
      <c r="AM82" s="59">
        <f t="shared" si="59"/>
        <v>951.28783551085826</v>
      </c>
      <c r="AN82" s="59">
        <f ca="1">AVERAGE(OFFSET($AM$3,0,0,'Données projet'!$E$10+1,1))-AVERAGE(OFFSET($H$3,0,0,'Données projet'!$E$10+1,1))</f>
        <v>382.67703499770795</v>
      </c>
      <c r="AO82" s="59">
        <f t="shared" si="90"/>
        <v>237.98926636458219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31.390427061393815</v>
      </c>
      <c r="AV82" s="21">
        <f>EXP(-LN(2)/25)*AV81+(1-EXP(-LN(2)/25))/(LN(2)/25)*Calculateur!AQ82*Calculateur!AS82*VLOOKUP('Données projet'!$B$10,Paramètres!$A$1:$I$89,3,0)*0.475*44/12</f>
        <v>0</v>
      </c>
      <c r="AW82" s="21">
        <f>EXP(-LN(2)/2)*AW81+(1-EXP(-LN(2)/2))/(LN(2)/2)*AQ82*AT82*VLOOKUP('Données projet'!$B$10,Paramètres!$A$1:$I$89,3,0)*0.475*44/12</f>
        <v>0</v>
      </c>
      <c r="AX82" s="21">
        <f t="shared" si="60"/>
        <v>31.390427061393815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25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43.679999999999964</v>
      </c>
      <c r="D83" s="11">
        <f t="shared" si="86"/>
        <v>12.968979282088567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437.29036638805184</v>
      </c>
      <c r="H83" s="67">
        <f t="shared" si="56"/>
        <v>391.99697224963751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4.5474735088646412E-13</v>
      </c>
      <c r="O83" s="13">
        <f>N83*VLOOKUP('Données projet'!$B$9,Paramètres!$A$1:$I$89,3,0)*VLOOKUP('Données projet'!$B$9,Paramètres!$A$1:$I$89,5,0)</f>
        <v>2.7193891583010558E-13</v>
      </c>
      <c r="P83" s="13">
        <f t="shared" si="87"/>
        <v>3.6362267729089988E-12</v>
      </c>
      <c r="Q83" s="20">
        <f t="shared" si="54"/>
        <v>6.8067219078872727E-12</v>
      </c>
      <c r="R83" s="59">
        <f t="shared" si="55"/>
        <v>293.33333333334014</v>
      </c>
      <c r="S83" s="59">
        <f ca="1">AVERAGE(OFFSET($R$3,0,0,'Données projet'!$E$9+1,1))-AVERAGE(OFFSET($H$3,0,0,'Données projet'!$E$9+1,1))</f>
        <v>252.28378247570731</v>
      </c>
      <c r="T83" s="59">
        <f t="shared" si="88"/>
        <v>263.50418595307343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10.906414448805416</v>
      </c>
      <c r="AA83" s="21">
        <f>EXP(-LN(2)/25)*AA82+(1-EXP(-LN(2)/25))/(LN(2)/25)*Calculateur!V83*Calculateur!X83*VLOOKUP('Données projet'!$B$9,Paramètres!$A$1:$I$89,3,0)*0.475*44/12</f>
        <v>0</v>
      </c>
      <c r="AB83" s="21">
        <f>EXP(-LN(2)/2)*AB82+(1-EXP(-LN(2)/2))/(LN(2)/2)*V83*Y83*VLOOKUP('Données projet'!$B$9,Paramètres!$A$1:$I$89,3,0)*0.475*44/12</f>
        <v>1.2028504783987116E-6</v>
      </c>
      <c r="AC83" s="22">
        <f t="shared" si="57"/>
        <v>10.906415651655895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>
        <f>VLOOKUP(A83,'Données projet'!$A$61:$I$81,2,0)</f>
        <v>370</v>
      </c>
      <c r="AG83" s="12">
        <f>VLOOKUP(A83,'Données projet'!$A$61:$I$81,9,0)</f>
        <v>7.4</v>
      </c>
      <c r="AH83" s="12">
        <f t="array" ref="AH83">INDEX(AG:AG,MIN(IF(ISNUMBER(AG83:AG279),ROW(AG83:AG279),"")))</f>
        <v>7.4</v>
      </c>
      <c r="AI83" s="13">
        <f>IF('Données projet'!$A$62&gt;35,AI82+AH83-AQ82,IF(A83&lt;'Données projet'!$A$62,$AF$205^A83,IF(A83='Données projet'!$A$62,'Données projet'!$B$62,AI82+AH83-AQ82)))</f>
        <v>369.99999999999977</v>
      </c>
      <c r="AJ83" s="13">
        <f>AI83*VLOOKUP('Données projet'!$B$10,Paramètres!$A$1:$I$89,3,0)*VLOOKUP('Données projet'!$B$10,Paramètres!$A$1:$I$89,5,0)</f>
        <v>311.68799999999987</v>
      </c>
      <c r="AK83" s="13">
        <f t="shared" si="89"/>
        <v>73.621240264709428</v>
      </c>
      <c r="AL83" s="20">
        <f t="shared" si="58"/>
        <v>671.08026012770199</v>
      </c>
      <c r="AM83" s="59">
        <f t="shared" si="59"/>
        <v>964.41359346103536</v>
      </c>
      <c r="AN83" s="59">
        <f ca="1">AVERAGE(OFFSET($AM$3,0,0,'Données projet'!$E$10+1,1))-AVERAGE(OFFSET($H$3,0,0,'Données projet'!$E$10+1,1))</f>
        <v>382.67703499770795</v>
      </c>
      <c r="AO83" s="59">
        <f t="shared" si="90"/>
        <v>237.98926636458219</v>
      </c>
      <c r="AP83" s="15">
        <f>IF(ISNA(VLOOKUP(A83,'Données projet'!$A$61:$I$81,3,0)),0,VLOOKUP(A83,'Données projet'!$A$61:$I$81,3,0))</f>
        <v>7</v>
      </c>
      <c r="AQ83" s="15">
        <f>IF(ISNA(VLOOKUP(A83,'Données projet'!$A$61:$I$81,4,0)),0,VLOOKUP(A83,'Données projet'!$A$61:$I$81,4,0))</f>
        <v>56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30.774879932989855</v>
      </c>
      <c r="AV83" s="21">
        <f>EXP(-LN(2)/25)*AV82+(1-EXP(-LN(2)/25))/(LN(2)/25)*Calculateur!AQ83*Calculateur!AS83*VLOOKUP('Données projet'!$B$10,Paramètres!$A$1:$I$89,3,0)*0.475*44/12</f>
        <v>0</v>
      </c>
      <c r="AW83" s="21">
        <f>EXP(-LN(2)/2)*AW82+(1-EXP(-LN(2)/2))/(LN(2)/2)*AQ83*AT83*VLOOKUP('Données projet'!$B$10,Paramètres!$A$1:$I$89,3,0)*0.475*44/12</f>
        <v>0</v>
      </c>
      <c r="AX83" s="21">
        <f t="shared" si="60"/>
        <v>30.774879932989855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25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44.225999999999964</v>
      </c>
      <c r="D84" s="11">
        <f t="shared" si="86"/>
        <v>13.112117930994097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442.61003315153312</v>
      </c>
      <c r="H84" s="67">
        <f t="shared" si="56"/>
        <v>393.19722206314799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4.5474735088646412E-13</v>
      </c>
      <c r="O84" s="13">
        <f>N84*VLOOKUP('Données projet'!$B$9,Paramètres!$A$1:$I$89,3,0)*VLOOKUP('Données projet'!$B$9,Paramètres!$A$1:$I$89,5,0)</f>
        <v>2.7193891583010558E-13</v>
      </c>
      <c r="P84" s="13">
        <f t="shared" si="87"/>
        <v>3.6362267729089988E-12</v>
      </c>
      <c r="Q84" s="20">
        <f t="shared" si="54"/>
        <v>6.8067219078872727E-12</v>
      </c>
      <c r="R84" s="59">
        <f t="shared" si="55"/>
        <v>293.33333333334014</v>
      </c>
      <c r="S84" s="59">
        <f ca="1">AVERAGE(OFFSET($R$3,0,0,'Données projet'!$E$9+1,1))-AVERAGE(OFFSET($H$3,0,0,'Données projet'!$E$9+1,1))</f>
        <v>252.28378247570731</v>
      </c>
      <c r="T84" s="59">
        <f t="shared" si="88"/>
        <v>263.50418595307343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10.6925463137203</v>
      </c>
      <c r="AA84" s="21">
        <f>EXP(-LN(2)/25)*AA83+(1-EXP(-LN(2)/25))/(LN(2)/25)*Calculateur!V84*Calculateur!X84*VLOOKUP('Données projet'!$B$9,Paramètres!$A$1:$I$89,3,0)*0.475*44/12</f>
        <v>0</v>
      </c>
      <c r="AB84" s="21">
        <f>EXP(-LN(2)/2)*AB83+(1-EXP(-LN(2)/2))/(LN(2)/2)*V84*Y84*VLOOKUP('Données projet'!$B$9,Paramètres!$A$1:$I$89,3,0)*0.475*44/12</f>
        <v>8.5054373002921181E-7</v>
      </c>
      <c r="AC84" s="22">
        <f t="shared" si="57"/>
        <v>10.692547164264029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6.6</v>
      </c>
      <c r="AI84" s="13">
        <f>IF('Données projet'!$A$62&gt;35,AI83+AH84-AQ83,IF(A84&lt;'Données projet'!$A$62,$AF$205^A84,IF(A84='Données projet'!$A$62,'Données projet'!$B$62,AI83+AH84-AQ83)))</f>
        <v>320.5999999999998</v>
      </c>
      <c r="AJ84" s="13">
        <f>AI84*VLOOKUP('Données projet'!$B$10,Paramètres!$A$1:$I$89,3,0)*VLOOKUP('Données projet'!$B$10,Paramètres!$A$1:$I$89,5,0)</f>
        <v>270.07343999999989</v>
      </c>
      <c r="AK84" s="13">
        <f t="shared" si="89"/>
        <v>64.864854862635113</v>
      </c>
      <c r="AL84" s="20">
        <f t="shared" si="58"/>
        <v>583.35086355242265</v>
      </c>
      <c r="AM84" s="59">
        <f t="shared" si="59"/>
        <v>876.68419688575591</v>
      </c>
      <c r="AN84" s="59">
        <f ca="1">AVERAGE(OFFSET($AM$3,0,0,'Données projet'!$E$10+1,1))-AVERAGE(OFFSET($H$3,0,0,'Données projet'!$E$10+1,1))</f>
        <v>382.67703499770795</v>
      </c>
      <c r="AO84" s="59">
        <f t="shared" si="90"/>
        <v>237.98926636458219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30.171403308327218</v>
      </c>
      <c r="AV84" s="21">
        <f>EXP(-LN(2)/25)*AV83+(1-EXP(-LN(2)/25))/(LN(2)/25)*Calculateur!AQ84*Calculateur!AS84*VLOOKUP('Données projet'!$B$10,Paramètres!$A$1:$I$89,3,0)*0.475*44/12</f>
        <v>0</v>
      </c>
      <c r="AW84" s="21">
        <f>EXP(-LN(2)/2)*AW83+(1-EXP(-LN(2)/2))/(LN(2)/2)*AQ84*AT84*VLOOKUP('Données projet'!$B$10,Paramètres!$A$1:$I$89,3,0)*0.475*44/12</f>
        <v>0</v>
      </c>
      <c r="AX84" s="21">
        <f t="shared" si="60"/>
        <v>30.171403308327218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25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44.771999999999963</v>
      </c>
      <c r="D85" s="11">
        <f t="shared" si="86"/>
        <v>13.255051026563269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447.92811318750563</v>
      </c>
      <c r="H85" s="67">
        <f t="shared" si="56"/>
        <v>394.39711387126425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4.5474735088646412E-13</v>
      </c>
      <c r="O85" s="13">
        <f>N85*VLOOKUP('Données projet'!$B$9,Paramètres!$A$1:$I$89,3,0)*VLOOKUP('Données projet'!$B$9,Paramètres!$A$1:$I$89,5,0)</f>
        <v>2.7193891583010558E-13</v>
      </c>
      <c r="P85" s="13">
        <f t="shared" si="87"/>
        <v>3.6362267729089988E-12</v>
      </c>
      <c r="Q85" s="20">
        <f t="shared" si="54"/>
        <v>6.8067219078872727E-12</v>
      </c>
      <c r="R85" s="59">
        <f t="shared" si="55"/>
        <v>293.33333333334014</v>
      </c>
      <c r="S85" s="59">
        <f ca="1">AVERAGE(OFFSET($R$3,0,0,'Données projet'!$E$9+1,1))-AVERAGE(OFFSET($H$3,0,0,'Données projet'!$E$9+1,1))</f>
        <v>252.28378247570731</v>
      </c>
      <c r="T85" s="59">
        <f t="shared" si="88"/>
        <v>263.50418595307343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10.482872002317521</v>
      </c>
      <c r="AA85" s="21">
        <f>EXP(-LN(2)/25)*AA84+(1-EXP(-LN(2)/25))/(LN(2)/25)*Calculateur!V85*Calculateur!X85*VLOOKUP('Données projet'!$B$9,Paramètres!$A$1:$I$89,3,0)*0.475*44/12</f>
        <v>0</v>
      </c>
      <c r="AB85" s="21">
        <f>EXP(-LN(2)/2)*AB84+(1-EXP(-LN(2)/2))/(LN(2)/2)*V85*Y85*VLOOKUP('Données projet'!$B$9,Paramètres!$A$1:$I$89,3,0)*0.475*44/12</f>
        <v>6.0142523919935582E-7</v>
      </c>
      <c r="AC85" s="22">
        <f t="shared" si="57"/>
        <v>10.482872603742759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6.6</v>
      </c>
      <c r="AI85" s="13">
        <f>IF('Données projet'!$A$62&gt;35,AI84+AH85-AQ84,IF(A85&lt;'Données projet'!$A$62,$AF$205^A85,IF(A85='Données projet'!$A$62,'Données projet'!$B$62,AI84+AH85-AQ84)))</f>
        <v>327.19999999999982</v>
      </c>
      <c r="AJ85" s="13">
        <f>AI85*VLOOKUP('Données projet'!$B$10,Paramètres!$A$1:$I$89,3,0)*VLOOKUP('Données projet'!$B$10,Paramètres!$A$1:$I$89,5,0)</f>
        <v>275.63327999999984</v>
      </c>
      <c r="AK85" s="13">
        <f t="shared" si="89"/>
        <v>66.043352919930101</v>
      </c>
      <c r="AL85" s="20">
        <f t="shared" si="58"/>
        <v>595.08680233554469</v>
      </c>
      <c r="AM85" s="59">
        <f t="shared" si="59"/>
        <v>888.42013566887795</v>
      </c>
      <c r="AN85" s="59">
        <f ca="1">AVERAGE(OFFSET($AM$3,0,0,'Données projet'!$E$10+1,1))-AVERAGE(OFFSET($H$3,0,0,'Données projet'!$E$10+1,1))</f>
        <v>382.67703499770795</v>
      </c>
      <c r="AO85" s="59">
        <f t="shared" si="90"/>
        <v>237.98926636458219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29.57976049218982</v>
      </c>
      <c r="AV85" s="21">
        <f>EXP(-LN(2)/25)*AV84+(1-EXP(-LN(2)/25))/(LN(2)/25)*Calculateur!AQ85*Calculateur!AS85*VLOOKUP('Données projet'!$B$10,Paramètres!$A$1:$I$89,3,0)*0.475*44/12</f>
        <v>0</v>
      </c>
      <c r="AW85" s="21">
        <f>EXP(-LN(2)/2)*AW84+(1-EXP(-LN(2)/2))/(LN(2)/2)*AQ85*AT85*VLOOKUP('Données projet'!$B$10,Paramètres!$A$1:$I$89,3,0)*0.475*44/12</f>
        <v>0</v>
      </c>
      <c r="AX85" s="21">
        <f t="shared" si="60"/>
        <v>29.57976049218982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25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45.317999999999962</v>
      </c>
      <c r="D86" s="11">
        <f t="shared" si="86"/>
        <v>13.397781365483624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453.24462808443468</v>
      </c>
      <c r="H86" s="67">
        <f t="shared" si="56"/>
        <v>395.59665254488391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4.5474735088646412E-13</v>
      </c>
      <c r="O86" s="13">
        <f>N86*VLOOKUP('Données projet'!$B$9,Paramètres!$A$1:$I$89,3,0)*VLOOKUP('Données projet'!$B$9,Paramètres!$A$1:$I$89,5,0)</f>
        <v>2.7193891583010558E-13</v>
      </c>
      <c r="P86" s="13">
        <f t="shared" si="87"/>
        <v>3.6362267729089988E-12</v>
      </c>
      <c r="Q86" s="20">
        <f t="shared" si="54"/>
        <v>6.8067219078872727E-12</v>
      </c>
      <c r="R86" s="59">
        <f t="shared" si="55"/>
        <v>293.33333333334014</v>
      </c>
      <c r="S86" s="59">
        <f ca="1">AVERAGE(OFFSET($R$3,0,0,'Données projet'!$E$9+1,1))-AVERAGE(OFFSET($H$3,0,0,'Données projet'!$E$9+1,1))</f>
        <v>252.28378247570731</v>
      </c>
      <c r="T86" s="59">
        <f t="shared" si="88"/>
        <v>263.50418595307343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10.277309276272648</v>
      </c>
      <c r="AA86" s="21">
        <f>EXP(-LN(2)/25)*AA85+(1-EXP(-LN(2)/25))/(LN(2)/25)*Calculateur!V86*Calculateur!X86*VLOOKUP('Données projet'!$B$9,Paramètres!$A$1:$I$89,3,0)*0.475*44/12</f>
        <v>0</v>
      </c>
      <c r="AB86" s="21">
        <f>EXP(-LN(2)/2)*AB85+(1-EXP(-LN(2)/2))/(LN(2)/2)*V86*Y86*VLOOKUP('Données projet'!$B$9,Paramètres!$A$1:$I$89,3,0)*0.475*44/12</f>
        <v>4.252718650146059E-7</v>
      </c>
      <c r="AC86" s="22">
        <f t="shared" si="57"/>
        <v>10.277309701544514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6.6</v>
      </c>
      <c r="AI86" s="13">
        <f>IF('Données projet'!$A$62&gt;35,AI85+AH86-AQ85,IF(A86&lt;'Données projet'!$A$62,$AF$205^A86,IF(A86='Données projet'!$A$62,'Données projet'!$B$62,AI85+AH86-AQ85)))</f>
        <v>333.79999999999984</v>
      </c>
      <c r="AJ86" s="13">
        <f>AI86*VLOOKUP('Données projet'!$B$10,Paramètres!$A$1:$I$89,3,0)*VLOOKUP('Données projet'!$B$10,Paramètres!$A$1:$I$89,5,0)</f>
        <v>281.19311999999991</v>
      </c>
      <c r="AK86" s="13">
        <f t="shared" si="89"/>
        <v>67.219087003698235</v>
      </c>
      <c r="AL86" s="20">
        <f t="shared" si="58"/>
        <v>606.81792719810755</v>
      </c>
      <c r="AM86" s="59">
        <f t="shared" si="59"/>
        <v>900.15126053144081</v>
      </c>
      <c r="AN86" s="59">
        <f ca="1">AVERAGE(OFFSET($AM$3,0,0,'Données projet'!$E$10+1,1))-AVERAGE(OFFSET($H$3,0,0,'Données projet'!$E$10+1,1))</f>
        <v>382.67703499770795</v>
      </c>
      <c r="AO86" s="59">
        <f t="shared" si="90"/>
        <v>237.98926636458219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28.999719430810391</v>
      </c>
      <c r="AV86" s="21">
        <f>EXP(-LN(2)/25)*AV85+(1-EXP(-LN(2)/25))/(LN(2)/25)*Calculateur!AQ86*Calculateur!AS86*VLOOKUP('Données projet'!$B$10,Paramètres!$A$1:$I$89,3,0)*0.475*44/12</f>
        <v>0</v>
      </c>
      <c r="AW86" s="21">
        <f>EXP(-LN(2)/2)*AW85+(1-EXP(-LN(2)/2))/(LN(2)/2)*AQ86*AT86*VLOOKUP('Données projet'!$B$10,Paramètres!$A$1:$I$89,3,0)*0.475*44/12</f>
        <v>0</v>
      </c>
      <c r="AX86" s="21">
        <f t="shared" si="60"/>
        <v>28.999719430810391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25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45.863999999999962</v>
      </c>
      <c r="D87" s="11">
        <f t="shared" si="86"/>
        <v>13.540311673175388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458.55959888065189</v>
      </c>
      <c r="H87" s="67">
        <f t="shared" si="56"/>
        <v>396.79584283078037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4.5474735088646412E-13</v>
      </c>
      <c r="O87" s="13">
        <f>N87*VLOOKUP('Données projet'!$B$9,Paramètres!$A$1:$I$89,3,0)*VLOOKUP('Données projet'!$B$9,Paramètres!$A$1:$I$89,5,0)</f>
        <v>2.7193891583010558E-13</v>
      </c>
      <c r="P87" s="13">
        <f t="shared" si="87"/>
        <v>3.6362267729089988E-12</v>
      </c>
      <c r="Q87" s="20">
        <f t="shared" si="54"/>
        <v>6.8067219078872727E-12</v>
      </c>
      <c r="R87" s="59">
        <f t="shared" si="55"/>
        <v>293.33333333334014</v>
      </c>
      <c r="S87" s="59">
        <f ca="1">AVERAGE(OFFSET($R$3,0,0,'Données projet'!$E$9+1,1))-AVERAGE(OFFSET($H$3,0,0,'Données projet'!$E$9+1,1))</f>
        <v>252.28378247570731</v>
      </c>
      <c r="T87" s="59">
        <f t="shared" si="88"/>
        <v>263.50418595307343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10.075777509904633</v>
      </c>
      <c r="AA87" s="21">
        <f>EXP(-LN(2)/25)*AA86+(1-EXP(-LN(2)/25))/(LN(2)/25)*Calculateur!V87*Calculateur!X87*VLOOKUP('Données projet'!$B$9,Paramètres!$A$1:$I$89,3,0)*0.475*44/12</f>
        <v>0</v>
      </c>
      <c r="AB87" s="21">
        <f>EXP(-LN(2)/2)*AB86+(1-EXP(-LN(2)/2))/(LN(2)/2)*V87*Y87*VLOOKUP('Données projet'!$B$9,Paramètres!$A$1:$I$89,3,0)*0.475*44/12</f>
        <v>3.0071261959967791E-7</v>
      </c>
      <c r="AC87" s="22">
        <f t="shared" si="57"/>
        <v>10.075777810617252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6.6</v>
      </c>
      <c r="AI87" s="13">
        <f>IF('Données projet'!$A$62&gt;35,AI86+AH87-AQ86,IF(A87&lt;'Données projet'!$A$62,$AF$205^A87,IF(A87='Données projet'!$A$62,'Données projet'!$B$62,AI86+AH87-AQ86)))</f>
        <v>340.39999999999986</v>
      </c>
      <c r="AJ87" s="13">
        <f>AI87*VLOOKUP('Données projet'!$B$10,Paramètres!$A$1:$I$89,3,0)*VLOOKUP('Données projet'!$B$10,Paramètres!$A$1:$I$89,5,0)</f>
        <v>286.75295999999992</v>
      </c>
      <c r="AK87" s="13">
        <f t="shared" si="89"/>
        <v>68.392118063243558</v>
      </c>
      <c r="AL87" s="20">
        <f t="shared" si="58"/>
        <v>618.54434429348237</v>
      </c>
      <c r="AM87" s="59">
        <f t="shared" si="59"/>
        <v>911.87767762681574</v>
      </c>
      <c r="AN87" s="59">
        <f ca="1">AVERAGE(OFFSET($AM$3,0,0,'Données projet'!$E$10+1,1))-AVERAGE(OFFSET($H$3,0,0,'Données projet'!$E$10+1,1))</f>
        <v>382.67703499770795</v>
      </c>
      <c r="AO87" s="59">
        <f t="shared" si="90"/>
        <v>237.98926636458219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28.431052620854498</v>
      </c>
      <c r="AV87" s="21">
        <f>EXP(-LN(2)/25)*AV86+(1-EXP(-LN(2)/25))/(LN(2)/25)*Calculateur!AQ87*Calculateur!AS87*VLOOKUP('Données projet'!$B$10,Paramètres!$A$1:$I$89,3,0)*0.475*44/12</f>
        <v>0</v>
      </c>
      <c r="AW87" s="21">
        <f>EXP(-LN(2)/2)*AW86+(1-EXP(-LN(2)/2))/(LN(2)/2)*AQ87*AT87*VLOOKUP('Données projet'!$B$10,Paramètres!$A$1:$I$89,3,0)*0.475*44/12</f>
        <v>0</v>
      </c>
      <c r="AX87" s="21">
        <f t="shared" si="60"/>
        <v>28.431052620854498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25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46.409999999999961</v>
      </c>
      <c r="D88" s="11">
        <f t="shared" si="86"/>
        <v>13.68264460643392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463.87304608475279</v>
      </c>
      <c r="H88" s="67">
        <f t="shared" si="56"/>
        <v>397.99468935620564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4.5474735088646412E-13</v>
      </c>
      <c r="O88" s="13">
        <f>N88*VLOOKUP('Données projet'!$B$9,Paramètres!$A$1:$I$89,3,0)*VLOOKUP('Données projet'!$B$9,Paramètres!$A$1:$I$89,5,0)</f>
        <v>2.7193891583010558E-13</v>
      </c>
      <c r="P88" s="13">
        <f t="shared" si="87"/>
        <v>3.6362267729089988E-12</v>
      </c>
      <c r="Q88" s="20">
        <f t="shared" si="54"/>
        <v>6.8067219078872727E-12</v>
      </c>
      <c r="R88" s="59">
        <f t="shared" si="55"/>
        <v>293.33333333334014</v>
      </c>
      <c r="S88" s="59">
        <f ca="1">AVERAGE(OFFSET($R$3,0,0,'Données projet'!$E$9+1,1))-AVERAGE(OFFSET($H$3,0,0,'Données projet'!$E$9+1,1))</f>
        <v>252.28378247570731</v>
      </c>
      <c r="T88" s="59">
        <f t="shared" si="88"/>
        <v>263.50418595307343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9.878197658552855</v>
      </c>
      <c r="AA88" s="21">
        <f>EXP(-LN(2)/25)*AA87+(1-EXP(-LN(2)/25))/(LN(2)/25)*Calculateur!V88*Calculateur!X88*VLOOKUP('Données projet'!$B$9,Paramètres!$A$1:$I$89,3,0)*0.475*44/12</f>
        <v>0</v>
      </c>
      <c r="AB88" s="21">
        <f>EXP(-LN(2)/2)*AB87+(1-EXP(-LN(2)/2))/(LN(2)/2)*V88*Y88*VLOOKUP('Données projet'!$B$9,Paramètres!$A$1:$I$89,3,0)*0.475*44/12</f>
        <v>2.1263593250730295E-7</v>
      </c>
      <c r="AC88" s="22">
        <f t="shared" si="57"/>
        <v>9.878197871188787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6.6</v>
      </c>
      <c r="AI88" s="13">
        <f>IF('Données projet'!$A$62&gt;35,AI87+AH88-AQ87,IF(A88&lt;'Données projet'!$A$62,$AF$205^A88,IF(A88='Données projet'!$A$62,'Données projet'!$B$62,AI87+AH88-AQ87)))</f>
        <v>346.99999999999989</v>
      </c>
      <c r="AJ88" s="13">
        <f>AI88*VLOOKUP('Données projet'!$B$10,Paramètres!$A$1:$I$89,3,0)*VLOOKUP('Données projet'!$B$10,Paramètres!$A$1:$I$89,5,0)</f>
        <v>292.31279999999992</v>
      </c>
      <c r="AK88" s="13">
        <f t="shared" si="89"/>
        <v>69.562504549179607</v>
      </c>
      <c r="AL88" s="20">
        <f t="shared" si="58"/>
        <v>630.26615542315426</v>
      </c>
      <c r="AM88" s="59">
        <f t="shared" si="59"/>
        <v>923.59948875648752</v>
      </c>
      <c r="AN88" s="59">
        <f ca="1">AVERAGE(OFFSET($AM$3,0,0,'Données projet'!$E$10+1,1))-AVERAGE(OFFSET($H$3,0,0,'Données projet'!$E$10+1,1))</f>
        <v>382.67703499770795</v>
      </c>
      <c r="AO88" s="59">
        <f t="shared" si="90"/>
        <v>237.98926636458219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27.873537020189335</v>
      </c>
      <c r="AV88" s="21">
        <f>EXP(-LN(2)/25)*AV87+(1-EXP(-LN(2)/25))/(LN(2)/25)*Calculateur!AQ88*Calculateur!AS88*VLOOKUP('Données projet'!$B$10,Paramètres!$A$1:$I$89,3,0)*0.475*44/12</f>
        <v>0</v>
      </c>
      <c r="AW88" s="21">
        <f>EXP(-LN(2)/2)*AW87+(1-EXP(-LN(2)/2))/(LN(2)/2)*AQ88*AT88*VLOOKUP('Données projet'!$B$10,Paramètres!$A$1:$I$89,3,0)*0.475*44/12</f>
        <v>0</v>
      </c>
      <c r="AX88" s="21">
        <f t="shared" si="60"/>
        <v>27.873537020189335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25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46.95599999999996</v>
      </c>
      <c r="D89" s="11">
        <f t="shared" si="86"/>
        <v>13.824782755944199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469.18498969500757</v>
      </c>
      <c r="H89" s="67">
        <f t="shared" si="56"/>
        <v>399.19319663326939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4.5474735088646412E-13</v>
      </c>
      <c r="O89" s="13">
        <f>N89*VLOOKUP('Données projet'!$B$9,Paramètres!$A$1:$I$89,3,0)*VLOOKUP('Données projet'!$B$9,Paramètres!$A$1:$I$89,5,0)</f>
        <v>2.7193891583010558E-13</v>
      </c>
      <c r="P89" s="13">
        <f t="shared" si="87"/>
        <v>3.6362267729089988E-12</v>
      </c>
      <c r="Q89" s="20">
        <f t="shared" si="54"/>
        <v>6.8067219078872727E-12</v>
      </c>
      <c r="R89" s="59">
        <f t="shared" si="55"/>
        <v>293.33333333334014</v>
      </c>
      <c r="S89" s="59">
        <f ca="1">AVERAGE(OFFSET($R$3,0,0,'Données projet'!$E$9+1,1))-AVERAGE(OFFSET($H$3,0,0,'Données projet'!$E$9+1,1))</f>
        <v>252.28378247570731</v>
      </c>
      <c r="T89" s="59">
        <f t="shared" si="88"/>
        <v>263.50418595307343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9.6844922275742746</v>
      </c>
      <c r="AA89" s="21">
        <f>EXP(-LN(2)/25)*AA88+(1-EXP(-LN(2)/25))/(LN(2)/25)*Calculateur!V89*Calculateur!X89*VLOOKUP('Données projet'!$B$9,Paramètres!$A$1:$I$89,3,0)*0.475*44/12</f>
        <v>0</v>
      </c>
      <c r="AB89" s="21">
        <f>EXP(-LN(2)/2)*AB88+(1-EXP(-LN(2)/2))/(LN(2)/2)*V89*Y89*VLOOKUP('Données projet'!$B$9,Paramètres!$A$1:$I$89,3,0)*0.475*44/12</f>
        <v>1.5035630979983895E-7</v>
      </c>
      <c r="AC89" s="22">
        <f t="shared" si="57"/>
        <v>9.6844923779305851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6.6</v>
      </c>
      <c r="AI89" s="13">
        <f>IF('Données projet'!$A$62&gt;35,AI88+AH89-AQ88,IF(A89&lt;'Données projet'!$A$62,$AF$205^A89,IF(A89='Données projet'!$A$62,'Données projet'!$B$62,AI88+AH89-AQ88)))</f>
        <v>353.59999999999991</v>
      </c>
      <c r="AJ89" s="13">
        <f>AI89*VLOOKUP('Données projet'!$B$10,Paramètres!$A$1:$I$89,3,0)*VLOOKUP('Données projet'!$B$10,Paramètres!$A$1:$I$89,5,0)</f>
        <v>297.87263999999993</v>
      </c>
      <c r="AK89" s="13">
        <f t="shared" si="89"/>
        <v>70.730302561409658</v>
      </c>
      <c r="AL89" s="20">
        <f t="shared" si="58"/>
        <v>641.98345829445509</v>
      </c>
      <c r="AM89" s="59">
        <f t="shared" si="59"/>
        <v>935.31679162778846</v>
      </c>
      <c r="AN89" s="59">
        <f ca="1">AVERAGE(OFFSET($AM$3,0,0,'Données projet'!$E$10+1,1))-AVERAGE(OFFSET($H$3,0,0,'Données projet'!$E$10+1,1))</f>
        <v>382.67703499770795</v>
      </c>
      <c r="AO89" s="59">
        <f t="shared" si="90"/>
        <v>237.98926636458219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27.326953960402278</v>
      </c>
      <c r="AV89" s="21">
        <f>EXP(-LN(2)/25)*AV88+(1-EXP(-LN(2)/25))/(LN(2)/25)*Calculateur!AQ89*Calculateur!AS89*VLOOKUP('Données projet'!$B$10,Paramètres!$A$1:$I$89,3,0)*0.475*44/12</f>
        <v>0</v>
      </c>
      <c r="AW89" s="21">
        <f>EXP(-LN(2)/2)*AW88+(1-EXP(-LN(2)/2))/(LN(2)/2)*AQ89*AT89*VLOOKUP('Données projet'!$B$10,Paramètres!$A$1:$I$89,3,0)*0.475*44/12</f>
        <v>0</v>
      </c>
      <c r="AX89" s="21">
        <f t="shared" si="60"/>
        <v>27.326953960402278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25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47.50199999999996</v>
      </c>
      <c r="D90" s="11">
        <f t="shared" si="86"/>
        <v>13.966728648675151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474.49544921784292</v>
      </c>
      <c r="H90" s="67">
        <f t="shared" si="56"/>
        <v>400.39136906310915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4.5474735088646412E-13</v>
      </c>
      <c r="O90" s="13">
        <f>N90*VLOOKUP('Données projet'!$B$9,Paramètres!$A$1:$I$89,3,0)*VLOOKUP('Données projet'!$B$9,Paramètres!$A$1:$I$89,5,0)</f>
        <v>2.7193891583010558E-13</v>
      </c>
      <c r="P90" s="13">
        <f t="shared" si="87"/>
        <v>3.6362267729089988E-12</v>
      </c>
      <c r="Q90" s="20">
        <f t="shared" si="54"/>
        <v>6.8067219078872727E-12</v>
      </c>
      <c r="R90" s="59">
        <f t="shared" si="55"/>
        <v>293.33333333334014</v>
      </c>
      <c r="S90" s="59">
        <f ca="1">AVERAGE(OFFSET($R$3,0,0,'Données projet'!$E$9+1,1))-AVERAGE(OFFSET($H$3,0,0,'Données projet'!$E$9+1,1))</f>
        <v>252.28378247570731</v>
      </c>
      <c r="T90" s="59">
        <f t="shared" si="88"/>
        <v>263.50418595307343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9.4945852419485384</v>
      </c>
      <c r="AA90" s="21">
        <f>EXP(-LN(2)/25)*AA89+(1-EXP(-LN(2)/25))/(LN(2)/25)*Calculateur!V90*Calculateur!X90*VLOOKUP('Données projet'!$B$9,Paramètres!$A$1:$I$89,3,0)*0.475*44/12</f>
        <v>0</v>
      </c>
      <c r="AB90" s="21">
        <f>EXP(-LN(2)/2)*AB89+(1-EXP(-LN(2)/2))/(LN(2)/2)*V90*Y90*VLOOKUP('Données projet'!$B$9,Paramètres!$A$1:$I$89,3,0)*0.475*44/12</f>
        <v>1.0631796625365148E-7</v>
      </c>
      <c r="AC90" s="22">
        <f t="shared" si="57"/>
        <v>9.4945853482665044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6.6</v>
      </c>
      <c r="AI90" s="13">
        <f>IF('Données projet'!$A$62&gt;35,AI89+AH90-AQ89,IF(A90&lt;'Données projet'!$A$62,$AF$205^A90,IF(A90='Données projet'!$A$62,'Données projet'!$B$62,AI89+AH90-AQ89)))</f>
        <v>360.19999999999993</v>
      </c>
      <c r="AJ90" s="13">
        <f>AI90*VLOOKUP('Données projet'!$B$10,Paramètres!$A$1:$I$89,3,0)*VLOOKUP('Données projet'!$B$10,Paramètres!$A$1:$I$89,5,0)</f>
        <v>303.43248</v>
      </c>
      <c r="AK90" s="13">
        <f t="shared" si="89"/>
        <v>71.895565985746146</v>
      </c>
      <c r="AL90" s="20">
        <f t="shared" si="58"/>
        <v>653.69634675850784</v>
      </c>
      <c r="AM90" s="59">
        <f t="shared" si="59"/>
        <v>947.0296800918411</v>
      </c>
      <c r="AN90" s="59">
        <f ca="1">AVERAGE(OFFSET($AM$3,0,0,'Données projet'!$E$10+1,1))-AVERAGE(OFFSET($H$3,0,0,'Données projet'!$E$10+1,1))</f>
        <v>382.67703499770795</v>
      </c>
      <c r="AO90" s="59">
        <f t="shared" si="90"/>
        <v>237.98926636458219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26.791089061034896</v>
      </c>
      <c r="AV90" s="21">
        <f>EXP(-LN(2)/25)*AV89+(1-EXP(-LN(2)/25))/(LN(2)/25)*Calculateur!AQ90*Calculateur!AS90*VLOOKUP('Données projet'!$B$10,Paramètres!$A$1:$I$89,3,0)*0.475*44/12</f>
        <v>0</v>
      </c>
      <c r="AW90" s="21">
        <f>EXP(-LN(2)/2)*AW89+(1-EXP(-LN(2)/2))/(LN(2)/2)*AQ90*AT90*VLOOKUP('Données projet'!$B$10,Paramètres!$A$1:$I$89,3,0)*0.475*44/12</f>
        <v>0</v>
      </c>
      <c r="AX90" s="21">
        <f t="shared" si="60"/>
        <v>26.791089061034896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25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48.047999999999959</v>
      </c>
      <c r="D91" s="11">
        <f t="shared" si="86"/>
        <v>14.10848475016061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479.80444368545005</v>
      </c>
      <c r="H91" s="67">
        <f t="shared" si="56"/>
        <v>401.58921093986299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4.5474735088646412E-13</v>
      </c>
      <c r="O91" s="13">
        <f>N91*VLOOKUP('Données projet'!$B$9,Paramètres!$A$1:$I$89,3,0)*VLOOKUP('Données projet'!$B$9,Paramètres!$A$1:$I$89,5,0)</f>
        <v>2.7193891583010558E-13</v>
      </c>
      <c r="P91" s="13">
        <f t="shared" si="87"/>
        <v>3.6362267729089988E-12</v>
      </c>
      <c r="Q91" s="20">
        <f t="shared" si="54"/>
        <v>6.8067219078872727E-12</v>
      </c>
      <c r="R91" s="59">
        <f t="shared" si="55"/>
        <v>293.33333333334014</v>
      </c>
      <c r="S91" s="59">
        <f ca="1">AVERAGE(OFFSET($R$3,0,0,'Données projet'!$E$9+1,1))-AVERAGE(OFFSET($H$3,0,0,'Données projet'!$E$9+1,1))</f>
        <v>252.28378247570731</v>
      </c>
      <c r="T91" s="59">
        <f t="shared" si="88"/>
        <v>263.50418595307343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9.3084022164790987</v>
      </c>
      <c r="AA91" s="21">
        <f>EXP(-LN(2)/25)*AA90+(1-EXP(-LN(2)/25))/(LN(2)/25)*Calculateur!V91*Calculateur!X91*VLOOKUP('Données projet'!$B$9,Paramètres!$A$1:$I$89,3,0)*0.475*44/12</f>
        <v>0</v>
      </c>
      <c r="AB91" s="21">
        <f>EXP(-LN(2)/2)*AB90+(1-EXP(-LN(2)/2))/(LN(2)/2)*V91*Y91*VLOOKUP('Données projet'!$B$9,Paramètres!$A$1:$I$89,3,0)*0.475*44/12</f>
        <v>7.5178154899919477E-8</v>
      </c>
      <c r="AC91" s="22">
        <f t="shared" si="57"/>
        <v>9.308402291657254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6.6</v>
      </c>
      <c r="AI91" s="13">
        <f>IF('Données projet'!$A$62&gt;35,AI90+AH91-AQ90,IF(A91&lt;'Données projet'!$A$62,$AF$205^A91,IF(A91='Données projet'!$A$62,'Données projet'!$B$62,AI90+AH91-AQ90)))</f>
        <v>366.79999999999995</v>
      </c>
      <c r="AJ91" s="13">
        <f>AI91*VLOOKUP('Données projet'!$B$10,Paramètres!$A$1:$I$89,3,0)*VLOOKUP('Données projet'!$B$10,Paramètres!$A$1:$I$89,5,0)</f>
        <v>308.99231999999995</v>
      </c>
      <c r="AK91" s="13">
        <f t="shared" si="89"/>
        <v>73.058346620234332</v>
      </c>
      <c r="AL91" s="20">
        <f t="shared" si="58"/>
        <v>665.40491103024135</v>
      </c>
      <c r="AM91" s="59">
        <f t="shared" si="59"/>
        <v>958.73824436357472</v>
      </c>
      <c r="AN91" s="59">
        <f ca="1">AVERAGE(OFFSET($AM$3,0,0,'Données projet'!$E$10+1,1))-AVERAGE(OFFSET($H$3,0,0,'Données projet'!$E$10+1,1))</f>
        <v>382.67703499770795</v>
      </c>
      <c r="AO91" s="59">
        <f t="shared" si="90"/>
        <v>237.98926636458219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26.265732145498795</v>
      </c>
      <c r="AV91" s="21">
        <f>EXP(-LN(2)/25)*AV90+(1-EXP(-LN(2)/25))/(LN(2)/25)*Calculateur!AQ91*Calculateur!AS91*VLOOKUP('Données projet'!$B$10,Paramètres!$A$1:$I$89,3,0)*0.475*44/12</f>
        <v>0</v>
      </c>
      <c r="AW91" s="21">
        <f>EXP(-LN(2)/2)*AW90+(1-EXP(-LN(2)/2))/(LN(2)/2)*AQ91*AT91*VLOOKUP('Données projet'!$B$10,Paramètres!$A$1:$I$89,3,0)*0.475*44/12</f>
        <v>0</v>
      </c>
      <c r="AX91" s="21">
        <f t="shared" si="60"/>
        <v>26.265732145498795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25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48.593999999999959</v>
      </c>
      <c r="D92" s="11">
        <f t="shared" si="86"/>
        <v>14.250053466673728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485.11199167256882</v>
      </c>
      <c r="H92" s="67">
        <f t="shared" si="56"/>
        <v>402.78672645445664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4.5474735088646412E-13</v>
      </c>
      <c r="O92" s="13">
        <f>N92*VLOOKUP('Données projet'!$B$9,Paramètres!$A$1:$I$89,3,0)*VLOOKUP('Données projet'!$B$9,Paramètres!$A$1:$I$89,5,0)</f>
        <v>2.7193891583010558E-13</v>
      </c>
      <c r="P92" s="13">
        <f t="shared" si="87"/>
        <v>3.6362267729089988E-12</v>
      </c>
      <c r="Q92" s="20">
        <f t="shared" si="54"/>
        <v>6.8067219078872727E-12</v>
      </c>
      <c r="R92" s="59">
        <f t="shared" si="55"/>
        <v>293.33333333334014</v>
      </c>
      <c r="S92" s="59">
        <f ca="1">AVERAGE(OFFSET($R$3,0,0,'Données projet'!$E$9+1,1))-AVERAGE(OFFSET($H$3,0,0,'Données projet'!$E$9+1,1))</f>
        <v>252.28378247570731</v>
      </c>
      <c r="T92" s="59">
        <f t="shared" si="88"/>
        <v>263.50418595307343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9.1258701265786826</v>
      </c>
      <c r="AA92" s="21">
        <f>EXP(-LN(2)/25)*AA91+(1-EXP(-LN(2)/25))/(LN(2)/25)*Calculateur!V92*Calculateur!X92*VLOOKUP('Données projet'!$B$9,Paramètres!$A$1:$I$89,3,0)*0.475*44/12</f>
        <v>0</v>
      </c>
      <c r="AB92" s="21">
        <f>EXP(-LN(2)/2)*AB91+(1-EXP(-LN(2)/2))/(LN(2)/2)*V92*Y92*VLOOKUP('Données projet'!$B$9,Paramètres!$A$1:$I$89,3,0)*0.475*44/12</f>
        <v>5.3158983126825738E-8</v>
      </c>
      <c r="AC92" s="22">
        <f t="shared" si="57"/>
        <v>9.1258701797376656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6.6</v>
      </c>
      <c r="AI92" s="13">
        <f>IF('Données projet'!$A$62&gt;35,AI91+AH92-AQ91,IF(A92&lt;'Données projet'!$A$62,$AF$205^A92,IF(A92='Données projet'!$A$62,'Données projet'!$B$62,AI91+AH92-AQ91)))</f>
        <v>373.4</v>
      </c>
      <c r="AJ92" s="13">
        <f>AI92*VLOOKUP('Données projet'!$B$10,Paramètres!$A$1:$I$89,3,0)*VLOOKUP('Données projet'!$B$10,Paramètres!$A$1:$I$89,5,0)</f>
        <v>314.55216000000001</v>
      </c>
      <c r="AK92" s="13">
        <f t="shared" si="89"/>
        <v>74.218694292125434</v>
      </c>
      <c r="AL92" s="20">
        <f t="shared" si="58"/>
        <v>677.10923789211859</v>
      </c>
      <c r="AM92" s="59">
        <f t="shared" si="59"/>
        <v>970.44257122545196</v>
      </c>
      <c r="AN92" s="59">
        <f ca="1">AVERAGE(OFFSET($AM$3,0,0,'Données projet'!$E$10+1,1))-AVERAGE(OFFSET($H$3,0,0,'Données projet'!$E$10+1,1))</f>
        <v>382.67703499770795</v>
      </c>
      <c r="AO92" s="59">
        <f t="shared" si="90"/>
        <v>237.98926636458219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25.750677158640279</v>
      </c>
      <c r="AV92" s="21">
        <f>EXP(-LN(2)/25)*AV91+(1-EXP(-LN(2)/25))/(LN(2)/25)*Calculateur!AQ92*Calculateur!AS92*VLOOKUP('Données projet'!$B$10,Paramètres!$A$1:$I$89,3,0)*0.475*44/12</f>
        <v>0</v>
      </c>
      <c r="AW92" s="21">
        <f>EXP(-LN(2)/2)*AW91+(1-EXP(-LN(2)/2))/(LN(2)/2)*AQ92*AT92*VLOOKUP('Données projet'!$B$10,Paramètres!$A$1:$I$89,3,0)*0.475*44/12</f>
        <v>0</v>
      </c>
      <c r="AX92" s="21">
        <f t="shared" si="60"/>
        <v>25.750677158640279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25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49.139999999999958</v>
      </c>
      <c r="D93" s="11">
        <f t="shared" si="86"/>
        <v>14.391437147300854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490.4181113124975</v>
      </c>
      <c r="H93" s="67">
        <f t="shared" si="56"/>
        <v>403.98391969821557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4.5474735088646412E-13</v>
      </c>
      <c r="O93" s="13">
        <f>N93*VLOOKUP('Données projet'!$B$9,Paramètres!$A$1:$I$89,3,0)*VLOOKUP('Données projet'!$B$9,Paramètres!$A$1:$I$89,5,0)</f>
        <v>2.7193891583010558E-13</v>
      </c>
      <c r="P93" s="13">
        <f t="shared" si="87"/>
        <v>3.6362267729089988E-12</v>
      </c>
      <c r="Q93" s="20">
        <f t="shared" si="54"/>
        <v>6.8067219078872727E-12</v>
      </c>
      <c r="R93" s="59">
        <f t="shared" si="55"/>
        <v>293.33333333334014</v>
      </c>
      <c r="S93" s="59">
        <f ca="1">AVERAGE(OFFSET($R$3,0,0,'Données projet'!$E$9+1,1))-AVERAGE(OFFSET($H$3,0,0,'Données projet'!$E$9+1,1))</f>
        <v>252.28378247570731</v>
      </c>
      <c r="T93" s="59">
        <f t="shared" si="88"/>
        <v>263.50418595307343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8.9469173796276316</v>
      </c>
      <c r="AA93" s="21">
        <f>EXP(-LN(2)/25)*AA92+(1-EXP(-LN(2)/25))/(LN(2)/25)*Calculateur!V93*Calculateur!X93*VLOOKUP('Données projet'!$B$9,Paramètres!$A$1:$I$89,3,0)*0.475*44/12</f>
        <v>0</v>
      </c>
      <c r="AB93" s="21">
        <f>EXP(-LN(2)/2)*AB92+(1-EXP(-LN(2)/2))/(LN(2)/2)*V93*Y93*VLOOKUP('Données projet'!$B$9,Paramètres!$A$1:$I$89,3,0)*0.475*44/12</f>
        <v>3.7589077449959738E-8</v>
      </c>
      <c r="AC93" s="22">
        <f t="shared" si="57"/>
        <v>8.9469174172167083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>
        <f>VLOOKUP(A93,'Données projet'!$A$61:$I$81,2,0)</f>
        <v>380</v>
      </c>
      <c r="AG93" s="12">
        <f>VLOOKUP(A93,'Données projet'!$A$61:$I$81,9,0)</f>
        <v>6.6</v>
      </c>
      <c r="AH93" s="12">
        <f t="array" ref="AH93">INDEX(AG:AG,MIN(IF(ISNUMBER(AG93:AG289),ROW(AG93:AG289),"")))</f>
        <v>6.6</v>
      </c>
      <c r="AI93" s="13">
        <f>IF('Données projet'!$A$62&gt;35,AI92+AH93-AQ92,IF(A93&lt;'Données projet'!$A$62,$AF$205^A93,IF(A93='Données projet'!$A$62,'Données projet'!$B$62,AI92+AH93-AQ92)))</f>
        <v>380</v>
      </c>
      <c r="AJ93" s="13">
        <f>AI93*VLOOKUP('Données projet'!$B$10,Paramètres!$A$1:$I$89,3,0)*VLOOKUP('Données projet'!$B$10,Paramètres!$A$1:$I$89,5,0)</f>
        <v>320.11200000000002</v>
      </c>
      <c r="AK93" s="13">
        <f t="shared" si="89"/>
        <v>75.376656966346744</v>
      </c>
      <c r="AL93" s="20">
        <f t="shared" si="58"/>
        <v>688.80941088305383</v>
      </c>
      <c r="AM93" s="59">
        <f t="shared" si="59"/>
        <v>982.1427442163872</v>
      </c>
      <c r="AN93" s="59">
        <f ca="1">AVERAGE(OFFSET($AM$3,0,0,'Données projet'!$E$10+1,1))-AVERAGE(OFFSET($H$3,0,0,'Données projet'!$E$10+1,1))</f>
        <v>382.67703499770795</v>
      </c>
      <c r="AO93" s="59">
        <f t="shared" si="90"/>
        <v>237.98926636458219</v>
      </c>
      <c r="AP93" s="15">
        <f>IF(ISNA(VLOOKUP(A93,'Données projet'!$A$61:$I$81,3,0)),0,VLOOKUP(A93,'Données projet'!$A$61:$I$81,3,0))</f>
        <v>8</v>
      </c>
      <c r="AQ93" s="15">
        <f>IF(ISNA(VLOOKUP(A93,'Données projet'!$A$61:$I$81,4,0)),0,VLOOKUP(A93,'Données projet'!$A$61:$I$81,4,0))</f>
        <v>56</v>
      </c>
      <c r="AR93" s="16">
        <f>IF(ISNA(VLOOKUP(A93,'Données projet'!$A$61:$I$81,5,0)),0%,VLOOKUP(A93,'Données projet'!$A$61:$I$81,5,0)*VLOOKUP('Données projet'!$B$10,Paramètres!$A$1:$I$89,7,0))</f>
        <v>0.43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47.670179890984393</v>
      </c>
      <c r="AV93" s="21">
        <f>EXP(-LN(2)/25)*AV92+(1-EXP(-LN(2)/25))/(LN(2)/25)*Calculateur!AQ93*Calculateur!AS93*VLOOKUP('Données projet'!$B$10,Paramètres!$A$1:$I$89,3,0)*0.475*44/12</f>
        <v>0</v>
      </c>
      <c r="AW93" s="21">
        <f>EXP(-LN(2)/2)*AW92+(1-EXP(-LN(2)/2))/(LN(2)/2)*AQ93*AT93*VLOOKUP('Données projet'!$B$10,Paramètres!$A$1:$I$89,3,0)*0.475*44/12</f>
        <v>0</v>
      </c>
      <c r="AX93" s="21">
        <f t="shared" si="60"/>
        <v>47.670179890984393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25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49.685999999999957</v>
      </c>
      <c r="D94" s="11">
        <f t="shared" si="86"/>
        <v>14.532638085920599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495.72282031236927</v>
      </c>
      <c r="H94" s="67">
        <f t="shared" si="56"/>
        <v>405.18079466631161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4.5474735088646412E-13</v>
      </c>
      <c r="O94" s="13">
        <f>N94*VLOOKUP('Données projet'!$B$9,Paramètres!$A$1:$I$89,3,0)*VLOOKUP('Données projet'!$B$9,Paramètres!$A$1:$I$89,5,0)</f>
        <v>2.7193891583010558E-13</v>
      </c>
      <c r="P94" s="13">
        <f t="shared" si="87"/>
        <v>3.6362267729089988E-12</v>
      </c>
      <c r="Q94" s="20">
        <f t="shared" si="54"/>
        <v>6.8067219078872727E-12</v>
      </c>
      <c r="R94" s="59">
        <f t="shared" si="55"/>
        <v>293.33333333334014</v>
      </c>
      <c r="S94" s="59">
        <f ca="1">AVERAGE(OFFSET($R$3,0,0,'Données projet'!$E$9+1,1))-AVERAGE(OFFSET($H$3,0,0,'Données projet'!$E$9+1,1))</f>
        <v>252.28378247570731</v>
      </c>
      <c r="T94" s="59">
        <f t="shared" si="88"/>
        <v>263.50418595307343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8.7714737868938926</v>
      </c>
      <c r="AA94" s="21">
        <f>EXP(-LN(2)/25)*AA93+(1-EXP(-LN(2)/25))/(LN(2)/25)*Calculateur!V94*Calculateur!X94*VLOOKUP('Données projet'!$B$9,Paramètres!$A$1:$I$89,3,0)*0.475*44/12</f>
        <v>0</v>
      </c>
      <c r="AB94" s="21">
        <f>EXP(-LN(2)/2)*AB93+(1-EXP(-LN(2)/2))/(LN(2)/2)*V94*Y94*VLOOKUP('Données projet'!$B$9,Paramètres!$A$1:$I$89,3,0)*0.475*44/12</f>
        <v>2.6579491563412869E-8</v>
      </c>
      <c r="AC94" s="22">
        <f t="shared" si="57"/>
        <v>8.771473813473385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5.9</v>
      </c>
      <c r="AI94" s="13">
        <f>IF('Données projet'!$A$62&gt;35,AI93+AH94-AQ93,IF(A94&lt;'Données projet'!$A$62,$AF$205^A94,IF(A94='Données projet'!$A$62,'Données projet'!$B$62,AI93+AH94-AQ93)))</f>
        <v>329.9</v>
      </c>
      <c r="AJ94" s="13">
        <f>AI94*VLOOKUP('Données projet'!$B$10,Paramètres!$A$1:$I$89,3,0)*VLOOKUP('Données projet'!$B$10,Paramètres!$A$1:$I$89,5,0)</f>
        <v>277.90776</v>
      </c>
      <c r="AK94" s="13">
        <f t="shared" si="89"/>
        <v>66.524665602018615</v>
      </c>
      <c r="AL94" s="20">
        <f t="shared" si="58"/>
        <v>599.8864745901825</v>
      </c>
      <c r="AM94" s="59">
        <f t="shared" si="59"/>
        <v>893.21980792351587</v>
      </c>
      <c r="AN94" s="59">
        <f ca="1">AVERAGE(OFFSET($AM$3,0,0,'Données projet'!$E$10+1,1))-AVERAGE(OFFSET($H$3,0,0,'Données projet'!$E$10+1,1))</f>
        <v>382.67703499770795</v>
      </c>
      <c r="AO94" s="59">
        <f t="shared" si="90"/>
        <v>237.98926636458219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46.735396739260914</v>
      </c>
      <c r="AV94" s="21">
        <f>EXP(-LN(2)/25)*AV93+(1-EXP(-LN(2)/25))/(LN(2)/25)*Calculateur!AQ94*Calculateur!AS94*VLOOKUP('Données projet'!$B$10,Paramètres!$A$1:$I$89,3,0)*0.475*44/12</f>
        <v>0</v>
      </c>
      <c r="AW94" s="21">
        <f>EXP(-LN(2)/2)*AW93+(1-EXP(-LN(2)/2))/(LN(2)/2)*AQ94*AT94*VLOOKUP('Données projet'!$B$10,Paramètres!$A$1:$I$89,3,0)*0.475*44/12</f>
        <v>0</v>
      </c>
      <c r="AX94" s="21">
        <f t="shared" si="60"/>
        <v>46.735396739260914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25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50.231999999999957</v>
      </c>
      <c r="D95" s="11">
        <f t="shared" si="86"/>
        <v>14.673658523093403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501.02613596773836</v>
      </c>
      <c r="H95" s="67">
        <f t="shared" si="56"/>
        <v>406.37735526105428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4.5474735088646412E-13</v>
      </c>
      <c r="O95" s="13">
        <f>N95*VLOOKUP('Données projet'!$B$9,Paramètres!$A$1:$I$89,3,0)*VLOOKUP('Données projet'!$B$9,Paramètres!$A$1:$I$89,5,0)</f>
        <v>2.7193891583010558E-13</v>
      </c>
      <c r="P95" s="13">
        <f t="shared" si="87"/>
        <v>3.6362267729089988E-12</v>
      </c>
      <c r="Q95" s="20">
        <f t="shared" si="54"/>
        <v>6.8067219078872727E-12</v>
      </c>
      <c r="R95" s="59">
        <f t="shared" si="55"/>
        <v>293.33333333334014</v>
      </c>
      <c r="S95" s="59">
        <f ca="1">AVERAGE(OFFSET($R$3,0,0,'Données projet'!$E$9+1,1))-AVERAGE(OFFSET($H$3,0,0,'Données projet'!$E$9+1,1))</f>
        <v>252.28378247570731</v>
      </c>
      <c r="T95" s="59">
        <f t="shared" si="88"/>
        <v>263.50418595307343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8.5994705360036381</v>
      </c>
      <c r="AA95" s="21">
        <f>EXP(-LN(2)/25)*AA94+(1-EXP(-LN(2)/25))/(LN(2)/25)*Calculateur!V95*Calculateur!X95*VLOOKUP('Données projet'!$B$9,Paramètres!$A$1:$I$89,3,0)*0.475*44/12</f>
        <v>0</v>
      </c>
      <c r="AB95" s="21">
        <f>EXP(-LN(2)/2)*AB94+(1-EXP(-LN(2)/2))/(LN(2)/2)*V95*Y95*VLOOKUP('Données projet'!$B$9,Paramètres!$A$1:$I$89,3,0)*0.475*44/12</f>
        <v>1.8794538724979869E-8</v>
      </c>
      <c r="AC95" s="22">
        <f t="shared" si="57"/>
        <v>8.5994705547981773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5.9</v>
      </c>
      <c r="AI95" s="13">
        <f>IF('Données projet'!$A$62&gt;35,AI94+AH95-AQ94,IF(A95&lt;'Données projet'!$A$62,$AF$205^A95,IF(A95='Données projet'!$A$62,'Données projet'!$B$62,AI94+AH95-AQ94)))</f>
        <v>335.79999999999995</v>
      </c>
      <c r="AJ95" s="13">
        <f>AI95*VLOOKUP('Données projet'!$B$10,Paramètres!$A$1:$I$89,3,0)*VLOOKUP('Données projet'!$B$10,Paramètres!$A$1:$I$89,5,0)</f>
        <v>282.87792000000002</v>
      </c>
      <c r="AK95" s="13">
        <f t="shared" si="89"/>
        <v>67.574833676246314</v>
      </c>
      <c r="AL95" s="20">
        <f t="shared" si="58"/>
        <v>610.37187931946244</v>
      </c>
      <c r="AM95" s="59">
        <f t="shared" si="59"/>
        <v>903.70521265279581</v>
      </c>
      <c r="AN95" s="59">
        <f ca="1">AVERAGE(OFFSET($AM$3,0,0,'Données projet'!$E$10+1,1))-AVERAGE(OFFSET($H$3,0,0,'Données projet'!$E$10+1,1))</f>
        <v>382.67703499770795</v>
      </c>
      <c r="AO95" s="59">
        <f t="shared" si="90"/>
        <v>237.98926636458219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45.818944114981306</v>
      </c>
      <c r="AV95" s="21">
        <f>EXP(-LN(2)/25)*AV94+(1-EXP(-LN(2)/25))/(LN(2)/25)*Calculateur!AQ95*Calculateur!AS95*VLOOKUP('Données projet'!$B$10,Paramètres!$A$1:$I$89,3,0)*0.475*44/12</f>
        <v>0</v>
      </c>
      <c r="AW95" s="21">
        <f>EXP(-LN(2)/2)*AW94+(1-EXP(-LN(2)/2))/(LN(2)/2)*AQ95*AT95*VLOOKUP('Données projet'!$B$10,Paramètres!$A$1:$I$89,3,0)*0.475*44/12</f>
        <v>0</v>
      </c>
      <c r="AX95" s="21">
        <f t="shared" si="60"/>
        <v>45.818944114981306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25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50.777999999999956</v>
      </c>
      <c r="D96" s="11">
        <f t="shared" si="86"/>
        <v>14.814500647866689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506.32807517651446</v>
      </c>
      <c r="H96" s="67">
        <f t="shared" si="56"/>
        <v>407.57360529503438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4.5474735088646412E-13</v>
      </c>
      <c r="O96" s="13">
        <f>N96*VLOOKUP('Données projet'!$B$9,Paramètres!$A$1:$I$89,3,0)*VLOOKUP('Données projet'!$B$9,Paramètres!$A$1:$I$89,5,0)</f>
        <v>2.7193891583010558E-13</v>
      </c>
      <c r="P96" s="13">
        <f t="shared" si="87"/>
        <v>3.6362267729089988E-12</v>
      </c>
      <c r="Q96" s="20">
        <f t="shared" si="54"/>
        <v>6.8067219078872727E-12</v>
      </c>
      <c r="R96" s="59">
        <f t="shared" si="55"/>
        <v>293.33333333334014</v>
      </c>
      <c r="S96" s="59">
        <f ca="1">AVERAGE(OFFSET($R$3,0,0,'Données projet'!$E$9+1,1))-AVERAGE(OFFSET($H$3,0,0,'Données projet'!$E$9+1,1))</f>
        <v>252.28378247570731</v>
      </c>
      <c r="T96" s="59">
        <f t="shared" si="88"/>
        <v>263.50418595307343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8.4308401639517179</v>
      </c>
      <c r="AA96" s="21">
        <f>EXP(-LN(2)/25)*AA95+(1-EXP(-LN(2)/25))/(LN(2)/25)*Calculateur!V96*Calculateur!X96*VLOOKUP('Données projet'!$B$9,Paramètres!$A$1:$I$89,3,0)*0.475*44/12</f>
        <v>0</v>
      </c>
      <c r="AB96" s="21">
        <f>EXP(-LN(2)/2)*AB95+(1-EXP(-LN(2)/2))/(LN(2)/2)*V96*Y96*VLOOKUP('Données projet'!$B$9,Paramètres!$A$1:$I$89,3,0)*0.475*44/12</f>
        <v>1.3289745781706434E-8</v>
      </c>
      <c r="AC96" s="22">
        <f t="shared" si="57"/>
        <v>8.4308401772414641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5.9</v>
      </c>
      <c r="AI96" s="13">
        <f>IF('Données projet'!$A$62&gt;35,AI95+AH96-AQ95,IF(A96&lt;'Données projet'!$A$62,$AF$205^A96,IF(A96='Données projet'!$A$62,'Données projet'!$B$62,AI95+AH96-AQ95)))</f>
        <v>341.69999999999993</v>
      </c>
      <c r="AJ96" s="13">
        <f>AI96*VLOOKUP('Données projet'!$B$10,Paramètres!$A$1:$I$89,3,0)*VLOOKUP('Données projet'!$B$10,Paramètres!$A$1:$I$89,5,0)</f>
        <v>287.84807999999998</v>
      </c>
      <c r="AK96" s="13">
        <f t="shared" si="89"/>
        <v>68.62285608154238</v>
      </c>
      <c r="AL96" s="20">
        <f t="shared" si="58"/>
        <v>620.85354700868629</v>
      </c>
      <c r="AM96" s="59">
        <f t="shared" si="59"/>
        <v>914.18688034201955</v>
      </c>
      <c r="AN96" s="59">
        <f ca="1">AVERAGE(OFFSET($AM$3,0,0,'Données projet'!$E$10+1,1))-AVERAGE(OFFSET($H$3,0,0,'Données projet'!$E$10+1,1))</f>
        <v>382.67703499770795</v>
      </c>
      <c r="AO96" s="59">
        <f t="shared" si="90"/>
        <v>237.98926636458219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44.920462567682918</v>
      </c>
      <c r="AV96" s="21">
        <f>EXP(-LN(2)/25)*AV95+(1-EXP(-LN(2)/25))/(LN(2)/25)*Calculateur!AQ96*Calculateur!AS96*VLOOKUP('Données projet'!$B$10,Paramètres!$A$1:$I$89,3,0)*0.475*44/12</f>
        <v>0</v>
      </c>
      <c r="AW96" s="21">
        <f>EXP(-LN(2)/2)*AW95+(1-EXP(-LN(2)/2))/(LN(2)/2)*AQ96*AT96*VLOOKUP('Données projet'!$B$10,Paramètres!$A$1:$I$89,3,0)*0.475*44/12</f>
        <v>0</v>
      </c>
      <c r="AX96" s="21">
        <f t="shared" si="60"/>
        <v>44.920462567682918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25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51.323999999999955</v>
      </c>
      <c r="D97" s="11">
        <f t="shared" si="86"/>
        <v>14.955166599500016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511.62865445228061</v>
      </c>
      <c r="H97" s="67">
        <f t="shared" si="56"/>
        <v>408.76954849412908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4.5474735088646412E-13</v>
      </c>
      <c r="O97" s="13">
        <f>N97*VLOOKUP('Données projet'!$B$9,Paramètres!$A$1:$I$89,3,0)*VLOOKUP('Données projet'!$B$9,Paramètres!$A$1:$I$89,5,0)</f>
        <v>2.7193891583010558E-13</v>
      </c>
      <c r="P97" s="13">
        <f t="shared" si="87"/>
        <v>3.6362267729089988E-12</v>
      </c>
      <c r="Q97" s="20">
        <f t="shared" si="54"/>
        <v>6.8067219078872727E-12</v>
      </c>
      <c r="R97" s="59">
        <f t="shared" si="55"/>
        <v>293.33333333334014</v>
      </c>
      <c r="S97" s="59">
        <f ca="1">AVERAGE(OFFSET($R$3,0,0,'Données projet'!$E$9+1,1))-AVERAGE(OFFSET($H$3,0,0,'Données projet'!$E$9+1,1))</f>
        <v>252.28378247570731</v>
      </c>
      <c r="T97" s="59">
        <f t="shared" si="88"/>
        <v>263.50418595307343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8.2655165306413636</v>
      </c>
      <c r="AA97" s="21">
        <f>EXP(-LN(2)/25)*AA96+(1-EXP(-LN(2)/25))/(LN(2)/25)*Calculateur!V97*Calculateur!X97*VLOOKUP('Données projet'!$B$9,Paramètres!$A$1:$I$89,3,0)*0.475*44/12</f>
        <v>0</v>
      </c>
      <c r="AB97" s="21">
        <f>EXP(-LN(2)/2)*AB96+(1-EXP(-LN(2)/2))/(LN(2)/2)*V97*Y97*VLOOKUP('Données projet'!$B$9,Paramètres!$A$1:$I$89,3,0)*0.475*44/12</f>
        <v>9.3972693624899346E-9</v>
      </c>
      <c r="AC97" s="22">
        <f t="shared" si="57"/>
        <v>8.2655165400386323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5.9</v>
      </c>
      <c r="AI97" s="13">
        <f>IF('Données projet'!$A$62&gt;35,AI96+AH97-AQ96,IF(A97&lt;'Données projet'!$A$62,$AF$205^A97,IF(A97='Données projet'!$A$62,'Données projet'!$B$62,AI96+AH97-AQ96)))</f>
        <v>347.59999999999991</v>
      </c>
      <c r="AJ97" s="13">
        <f>AI97*VLOOKUP('Données projet'!$B$10,Paramètres!$A$1:$I$89,3,0)*VLOOKUP('Données projet'!$B$10,Paramètres!$A$1:$I$89,5,0)</f>
        <v>292.81823999999995</v>
      </c>
      <c r="AK97" s="13">
        <f t="shared" si="89"/>
        <v>69.668774141370633</v>
      </c>
      <c r="AL97" s="20">
        <f t="shared" si="58"/>
        <v>631.33154962955371</v>
      </c>
      <c r="AM97" s="59">
        <f t="shared" si="59"/>
        <v>924.66488296288708</v>
      </c>
      <c r="AN97" s="59">
        <f ca="1">AVERAGE(OFFSET($AM$3,0,0,'Données projet'!$E$10+1,1))-AVERAGE(OFFSET($H$3,0,0,'Données projet'!$E$10+1,1))</f>
        <v>382.67703499770795</v>
      </c>
      <c r="AO97" s="59">
        <f t="shared" si="90"/>
        <v>237.98926636458219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44.03959969550742</v>
      </c>
      <c r="AV97" s="21">
        <f>EXP(-LN(2)/25)*AV96+(1-EXP(-LN(2)/25))/(LN(2)/25)*Calculateur!AQ97*Calculateur!AS97*VLOOKUP('Données projet'!$B$10,Paramètres!$A$1:$I$89,3,0)*0.475*44/12</f>
        <v>0</v>
      </c>
      <c r="AW97" s="21">
        <f>EXP(-LN(2)/2)*AW96+(1-EXP(-LN(2)/2))/(LN(2)/2)*AQ97*AT97*VLOOKUP('Données projet'!$B$10,Paramètres!$A$1:$I$89,3,0)*0.475*44/12</f>
        <v>0</v>
      </c>
      <c r="AX97" s="21">
        <f t="shared" si="60"/>
        <v>44.03959969550742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25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51.869999999999955</v>
      </c>
      <c r="D98" s="11">
        <f t="shared" si="86"/>
        <v>15.0956584691149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516.92788993702698</v>
      </c>
      <c r="H98" s="67">
        <f t="shared" si="56"/>
        <v>409.96518850037501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4.5474735088646412E-13</v>
      </c>
      <c r="O98" s="13">
        <f>N98*VLOOKUP('Données projet'!$B$9,Paramètres!$A$1:$I$89,3,0)*VLOOKUP('Données projet'!$B$9,Paramètres!$A$1:$I$89,5,0)</f>
        <v>2.7193891583010558E-13</v>
      </c>
      <c r="P98" s="13">
        <f t="shared" si="87"/>
        <v>3.6362267729089988E-12</v>
      </c>
      <c r="Q98" s="20">
        <f t="shared" si="54"/>
        <v>6.8067219078872727E-12</v>
      </c>
      <c r="R98" s="59">
        <f t="shared" si="55"/>
        <v>293.33333333334014</v>
      </c>
      <c r="S98" s="59">
        <f ca="1">AVERAGE(OFFSET($R$3,0,0,'Données projet'!$E$9+1,1))-AVERAGE(OFFSET($H$3,0,0,'Données projet'!$E$9+1,1))</f>
        <v>252.28378247570731</v>
      </c>
      <c r="T98" s="59">
        <f t="shared" si="88"/>
        <v>263.50418595307343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8.1034347929427675</v>
      </c>
      <c r="AA98" s="21">
        <f>EXP(-LN(2)/25)*AA97+(1-EXP(-LN(2)/25))/(LN(2)/25)*Calculateur!V98*Calculateur!X98*VLOOKUP('Données projet'!$B$9,Paramètres!$A$1:$I$89,3,0)*0.475*44/12</f>
        <v>0</v>
      </c>
      <c r="AB98" s="21">
        <f>EXP(-LN(2)/2)*AB97+(1-EXP(-LN(2)/2))/(LN(2)/2)*V98*Y98*VLOOKUP('Données projet'!$B$9,Paramètres!$A$1:$I$89,3,0)*0.475*44/12</f>
        <v>6.6448728908532172E-9</v>
      </c>
      <c r="AC98" s="22">
        <f t="shared" si="57"/>
        <v>8.1034347995876406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5.9</v>
      </c>
      <c r="AI98" s="13">
        <f>IF('Données projet'!$A$62&gt;35,AI97+AH98-AQ97,IF(A98&lt;'Données projet'!$A$62,$AF$205^A98,IF(A98='Données projet'!$A$62,'Données projet'!$B$62,AI97+AH98-AQ97)))</f>
        <v>353.49999999999989</v>
      </c>
      <c r="AJ98" s="13">
        <f>AI98*VLOOKUP('Données projet'!$B$10,Paramètres!$A$1:$I$89,3,0)*VLOOKUP('Données projet'!$B$10,Paramètres!$A$1:$I$89,5,0)</f>
        <v>297.78839999999997</v>
      </c>
      <c r="AK98" s="13">
        <f t="shared" si="89"/>
        <v>70.71262769599339</v>
      </c>
      <c r="AL98" s="20">
        <f t="shared" si="58"/>
        <v>641.80595657052174</v>
      </c>
      <c r="AM98" s="59">
        <f t="shared" si="59"/>
        <v>935.13928990385511</v>
      </c>
      <c r="AN98" s="59">
        <f ca="1">AVERAGE(OFFSET($AM$3,0,0,'Données projet'!$E$10+1,1))-AVERAGE(OFFSET($H$3,0,0,'Données projet'!$E$10+1,1))</f>
        <v>382.67703499770795</v>
      </c>
      <c r="AO98" s="59">
        <f t="shared" si="90"/>
        <v>237.98926636458219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43.176010006981983</v>
      </c>
      <c r="AV98" s="21">
        <f>EXP(-LN(2)/25)*AV97+(1-EXP(-LN(2)/25))/(LN(2)/25)*Calculateur!AQ98*Calculateur!AS98*VLOOKUP('Données projet'!$B$10,Paramètres!$A$1:$I$89,3,0)*0.475*44/12</f>
        <v>0</v>
      </c>
      <c r="AW98" s="21">
        <f>EXP(-LN(2)/2)*AW97+(1-EXP(-LN(2)/2))/(LN(2)/2)*AQ98*AT98*VLOOKUP('Données projet'!$B$10,Paramètres!$A$1:$I$89,3,0)*0.475*44/12</f>
        <v>0</v>
      </c>
      <c r="AX98" s="21">
        <f t="shared" si="60"/>
        <v>43.176010006981983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25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52.415999999999954</v>
      </c>
      <c r="D99" s="11">
        <f t="shared" si="86"/>
        <v>15.235978301273022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522.22579741333527</v>
      </c>
      <c r="H99" s="67">
        <f t="shared" si="56"/>
        <v>411.1605288747171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4.5474735088646412E-13</v>
      </c>
      <c r="O99" s="13">
        <f>N99*VLOOKUP('Données projet'!$B$9,Paramètres!$A$1:$I$89,3,0)*VLOOKUP('Données projet'!$B$9,Paramètres!$A$1:$I$89,5,0)</f>
        <v>2.7193891583010558E-13</v>
      </c>
      <c r="P99" s="13">
        <f t="shared" si="87"/>
        <v>3.6362267729089988E-12</v>
      </c>
      <c r="Q99" s="20">
        <f t="shared" ref="Q99:Q130" si="107">(O99+P99)*0.475*44/12</f>
        <v>6.8067219078872727E-12</v>
      </c>
      <c r="R99" s="59">
        <f t="shared" si="55"/>
        <v>293.33333333334014</v>
      </c>
      <c r="S99" s="59">
        <f ca="1">AVERAGE(OFFSET($R$3,0,0,'Données projet'!$E$9+1,1))-AVERAGE(OFFSET($H$3,0,0,'Données projet'!$E$9+1,1))</f>
        <v>252.28378247570731</v>
      </c>
      <c r="T99" s="59">
        <f t="shared" si="88"/>
        <v>263.50418595307343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7.9445313792603418</v>
      </c>
      <c r="AA99" s="21">
        <f>EXP(-LN(2)/25)*AA98+(1-EXP(-LN(2)/25))/(LN(2)/25)*Calculateur!V99*Calculateur!X99*VLOOKUP('Données projet'!$B$9,Paramètres!$A$1:$I$89,3,0)*0.475*44/12</f>
        <v>0</v>
      </c>
      <c r="AB99" s="21">
        <f>EXP(-LN(2)/2)*AB98+(1-EXP(-LN(2)/2))/(LN(2)/2)*V99*Y99*VLOOKUP('Données projet'!$B$9,Paramètres!$A$1:$I$89,3,0)*0.475*44/12</f>
        <v>4.6986346812449673E-9</v>
      </c>
      <c r="AC99" s="22">
        <f t="shared" si="57"/>
        <v>7.9445313839589762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5.9</v>
      </c>
      <c r="AI99" s="13">
        <f>IF('Données projet'!$A$62&gt;35,AI98+AH99-AQ98,IF(A99&lt;'Données projet'!$A$62,$AF$205^A99,IF(A99='Données projet'!$A$62,'Données projet'!$B$62,AI98+AH99-AQ98)))</f>
        <v>359.39999999999986</v>
      </c>
      <c r="AJ99" s="13">
        <f>AI99*VLOOKUP('Données projet'!$B$10,Paramètres!$A$1:$I$89,3,0)*VLOOKUP('Données projet'!$B$10,Paramètres!$A$1:$I$89,5,0)</f>
        <v>302.75855999999993</v>
      </c>
      <c r="AK99" s="13">
        <f t="shared" si="89"/>
        <v>71.75445517955734</v>
      </c>
      <c r="AL99" s="20">
        <f t="shared" si="58"/>
        <v>652.27683477106223</v>
      </c>
      <c r="AM99" s="59">
        <f t="shared" si="59"/>
        <v>945.6101681043956</v>
      </c>
      <c r="AN99" s="59">
        <f ca="1">AVERAGE(OFFSET($AM$3,0,0,'Données projet'!$E$10+1,1))-AVERAGE(OFFSET($H$3,0,0,'Données projet'!$E$10+1,1))</f>
        <v>382.67703499770795</v>
      </c>
      <c r="AO99" s="59">
        <f t="shared" si="90"/>
        <v>237.98926636458219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42.32935478551083</v>
      </c>
      <c r="AV99" s="21">
        <f>EXP(-LN(2)/25)*AV98+(1-EXP(-LN(2)/25))/(LN(2)/25)*Calculateur!AQ99*Calculateur!AS99*VLOOKUP('Données projet'!$B$10,Paramètres!$A$1:$I$89,3,0)*0.475*44/12</f>
        <v>0</v>
      </c>
      <c r="AW99" s="21">
        <f>EXP(-LN(2)/2)*AW98+(1-EXP(-LN(2)/2))/(LN(2)/2)*AQ99*AT99*VLOOKUP('Données projet'!$B$10,Paramètres!$A$1:$I$89,3,0)*0.475*44/12</f>
        <v>0</v>
      </c>
      <c r="AX99" s="21">
        <f t="shared" si="60"/>
        <v>42.32935478551083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25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52.961999999999954</v>
      </c>
      <c r="D100" s="11">
        <f t="shared" si="86"/>
        <v>15.376128095486868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527.52239231603869</v>
      </c>
      <c r="H100" s="67">
        <f t="shared" si="56"/>
        <v>412.35557309963951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4.5474735088646412E-13</v>
      </c>
      <c r="O100" s="13">
        <f>N100*VLOOKUP('Données projet'!$B$9,Paramètres!$A$1:$I$89,3,0)*VLOOKUP('Données projet'!$B$9,Paramètres!$A$1:$I$89,5,0)</f>
        <v>2.7193891583010558E-13</v>
      </c>
      <c r="P100" s="13">
        <f t="shared" si="87"/>
        <v>3.6362267729089988E-12</v>
      </c>
      <c r="Q100" s="20">
        <f t="shared" si="107"/>
        <v>6.8067219078872727E-12</v>
      </c>
      <c r="R100" s="59">
        <f t="shared" si="55"/>
        <v>293.33333333334014</v>
      </c>
      <c r="S100" s="59">
        <f ca="1">AVERAGE(OFFSET($R$3,0,0,'Données projet'!$E$9+1,1))-AVERAGE(OFFSET($H$3,0,0,'Données projet'!$E$9+1,1))</f>
        <v>252.28378247570731</v>
      </c>
      <c r="T100" s="59">
        <f t="shared" si="88"/>
        <v>263.50418595307343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7.7887439645987158</v>
      </c>
      <c r="AA100" s="21">
        <f>EXP(-LN(2)/25)*AA99+(1-EXP(-LN(2)/25))/(LN(2)/25)*Calculateur!V100*Calculateur!X100*VLOOKUP('Données projet'!$B$9,Paramètres!$A$1:$I$89,3,0)*0.475*44/12</f>
        <v>0</v>
      </c>
      <c r="AB100" s="21">
        <f>EXP(-LN(2)/2)*AB99+(1-EXP(-LN(2)/2))/(LN(2)/2)*V100*Y100*VLOOKUP('Données projet'!$B$9,Paramètres!$A$1:$I$89,3,0)*0.475*44/12</f>
        <v>3.3224364454266086E-9</v>
      </c>
      <c r="AC100" s="22">
        <f t="shared" si="57"/>
        <v>7.7887439679211523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5.9</v>
      </c>
      <c r="AI100" s="13">
        <f>IF('Données projet'!$A$62&gt;35,AI99+AH100-AQ99,IF(A100&lt;'Données projet'!$A$62,$AF$205^A100,IF(A100='Données projet'!$A$62,'Données projet'!$B$62,AI99+AH100-AQ99)))</f>
        <v>365.29999999999984</v>
      </c>
      <c r="AJ100" s="13">
        <f>AI100*VLOOKUP('Données projet'!$B$10,Paramètres!$A$1:$I$89,3,0)*VLOOKUP('Données projet'!$B$10,Paramètres!$A$1:$I$89,5,0)</f>
        <v>307.7287199999999</v>
      </c>
      <c r="AK100" s="13">
        <f t="shared" si="89"/>
        <v>72.794293691974175</v>
      </c>
      <c r="AL100" s="20">
        <f t="shared" si="58"/>
        <v>662.74424884685482</v>
      </c>
      <c r="AM100" s="59">
        <f t="shared" si="59"/>
        <v>956.07758218018807</v>
      </c>
      <c r="AN100" s="59">
        <f ca="1">AVERAGE(OFFSET($AM$3,0,0,'Données projet'!$E$10+1,1))-AVERAGE(OFFSET($H$3,0,0,'Données projet'!$E$10+1,1))</f>
        <v>382.67703499770795</v>
      </c>
      <c r="AO100" s="59">
        <f t="shared" si="90"/>
        <v>237.98926636458219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41.499301956524029</v>
      </c>
      <c r="AV100" s="21">
        <f>EXP(-LN(2)/25)*AV99+(1-EXP(-LN(2)/25))/(LN(2)/25)*Calculateur!AQ100*Calculateur!AS100*VLOOKUP('Données projet'!$B$10,Paramètres!$A$1:$I$89,3,0)*0.475*44/12</f>
        <v>0</v>
      </c>
      <c r="AW100" s="21">
        <f>EXP(-LN(2)/2)*AW99+(1-EXP(-LN(2)/2))/(LN(2)/2)*AQ100*AT100*VLOOKUP('Données projet'!$B$10,Paramètres!$A$1:$I$89,3,0)*0.475*44/12</f>
        <v>0</v>
      </c>
      <c r="AX100" s="21">
        <f t="shared" si="60"/>
        <v>41.499301956524029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25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53.507999999999953</v>
      </c>
      <c r="D101" s="11">
        <f t="shared" si="86"/>
        <v>15.516109807666373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532.81768974338922</v>
      </c>
      <c r="H101" s="67">
        <f t="shared" si="56"/>
        <v>413.55032458168552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4.5474735088646412E-13</v>
      </c>
      <c r="O101" s="13">
        <f>N101*VLOOKUP('Données projet'!$B$9,Paramètres!$A$1:$I$89,3,0)*VLOOKUP('Données projet'!$B$9,Paramètres!$A$1:$I$89,5,0)</f>
        <v>2.7193891583010558E-13</v>
      </c>
      <c r="P101" s="13">
        <f t="shared" si="87"/>
        <v>3.6362267729089988E-12</v>
      </c>
      <c r="Q101" s="20">
        <f t="shared" si="107"/>
        <v>6.8067219078872727E-12</v>
      </c>
      <c r="R101" s="59">
        <f t="shared" si="55"/>
        <v>293.33333333334014</v>
      </c>
      <c r="S101" s="59">
        <f ca="1">AVERAGE(OFFSET($R$3,0,0,'Données projet'!$E$9+1,1))-AVERAGE(OFFSET($H$3,0,0,'Données projet'!$E$9+1,1))</f>
        <v>252.28378247570731</v>
      </c>
      <c r="T101" s="59">
        <f t="shared" si="88"/>
        <v>263.50418595307343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7.6360114461176645</v>
      </c>
      <c r="AA101" s="21">
        <f>EXP(-LN(2)/25)*AA100+(1-EXP(-LN(2)/25))/(LN(2)/25)*Calculateur!V101*Calculateur!X101*VLOOKUP('Données projet'!$B$9,Paramètres!$A$1:$I$89,3,0)*0.475*44/12</f>
        <v>0</v>
      </c>
      <c r="AB101" s="21">
        <f>EXP(-LN(2)/2)*AB100+(1-EXP(-LN(2)/2))/(LN(2)/2)*V101*Y101*VLOOKUP('Données projet'!$B$9,Paramètres!$A$1:$I$89,3,0)*0.475*44/12</f>
        <v>2.3493173406224837E-9</v>
      </c>
      <c r="AC101" s="22">
        <f t="shared" si="57"/>
        <v>7.6360114484669817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5.9</v>
      </c>
      <c r="AI101" s="13">
        <f>IF('Données projet'!$A$62&gt;35,AI100+AH101-AQ100,IF(A101&lt;'Données projet'!$A$62,$AF$205^A101,IF(A101='Données projet'!$A$62,'Données projet'!$B$62,AI100+AH101-AQ100)))</f>
        <v>371.19999999999982</v>
      </c>
      <c r="AJ101" s="13">
        <f>AI101*VLOOKUP('Données projet'!$B$10,Paramètres!$A$1:$I$89,3,0)*VLOOKUP('Données projet'!$B$10,Paramètres!$A$1:$I$89,5,0)</f>
        <v>312.69887999999992</v>
      </c>
      <c r="AK101" s="13">
        <f t="shared" si="89"/>
        <v>73.832179066025233</v>
      </c>
      <c r="AL101" s="20">
        <f t="shared" si="58"/>
        <v>673.20826120666038</v>
      </c>
      <c r="AM101" s="59">
        <f t="shared" si="59"/>
        <v>966.54159453999364</v>
      </c>
      <c r="AN101" s="59">
        <f ca="1">AVERAGE(OFFSET($AM$3,0,0,'Données projet'!$E$10+1,1))-AVERAGE(OFFSET($H$3,0,0,'Données projet'!$E$10+1,1))</f>
        <v>382.67703499770795</v>
      </c>
      <c r="AO101" s="59">
        <f t="shared" si="90"/>
        <v>237.98926636458219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40.685525957231427</v>
      </c>
      <c r="AV101" s="21">
        <f>EXP(-LN(2)/25)*AV100+(1-EXP(-LN(2)/25))/(LN(2)/25)*Calculateur!AQ101*Calculateur!AS101*VLOOKUP('Données projet'!$B$10,Paramètres!$A$1:$I$89,3,0)*0.475*44/12</f>
        <v>0</v>
      </c>
      <c r="AW101" s="21">
        <f>EXP(-LN(2)/2)*AW100+(1-EXP(-LN(2)/2))/(LN(2)/2)*AQ101*AT101*VLOOKUP('Données projet'!$B$10,Paramètres!$A$1:$I$89,3,0)*0.475*44/12</f>
        <v>0</v>
      </c>
      <c r="AX101" s="21">
        <f t="shared" si="60"/>
        <v>40.685525957231427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25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54.053999999999952</v>
      </c>
      <c r="D102" s="11">
        <f t="shared" si="86"/>
        <v>15.655925351504653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538.11170446775486</v>
      </c>
      <c r="H102" s="67">
        <f t="shared" si="56"/>
        <v>414.74478665387051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4.5474735088646412E-13</v>
      </c>
      <c r="O102" s="13">
        <f>N102*VLOOKUP('Données projet'!$B$9,Paramètres!$A$1:$I$89,3,0)*VLOOKUP('Données projet'!$B$9,Paramètres!$A$1:$I$89,5,0)</f>
        <v>2.7193891583010558E-13</v>
      </c>
      <c r="P102" s="13">
        <f t="shared" si="87"/>
        <v>3.6362267729089988E-12</v>
      </c>
      <c r="Q102" s="20">
        <f t="shared" si="107"/>
        <v>6.8067219078872727E-12</v>
      </c>
      <c r="R102" s="59">
        <f t="shared" si="55"/>
        <v>293.33333333334014</v>
      </c>
      <c r="S102" s="59">
        <f ca="1">AVERAGE(OFFSET($R$3,0,0,'Données projet'!$E$9+1,1))-AVERAGE(OFFSET($H$3,0,0,'Données projet'!$E$9+1,1))</f>
        <v>252.28378247570731</v>
      </c>
      <c r="T102" s="59">
        <f t="shared" si="88"/>
        <v>263.50418595307343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7.486273919166389</v>
      </c>
      <c r="AA102" s="21">
        <f>EXP(-LN(2)/25)*AA101+(1-EXP(-LN(2)/25))/(LN(2)/25)*Calculateur!V102*Calculateur!X102*VLOOKUP('Données projet'!$B$9,Paramètres!$A$1:$I$89,3,0)*0.475*44/12</f>
        <v>0</v>
      </c>
      <c r="AB102" s="21">
        <f>EXP(-LN(2)/2)*AB101+(1-EXP(-LN(2)/2))/(LN(2)/2)*V102*Y102*VLOOKUP('Données projet'!$B$9,Paramètres!$A$1:$I$89,3,0)*0.475*44/12</f>
        <v>1.6612182227133043E-9</v>
      </c>
      <c r="AC102" s="22">
        <f t="shared" si="57"/>
        <v>7.4862739208276068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5.9</v>
      </c>
      <c r="AI102" s="13">
        <f>IF('Données projet'!$A$62&gt;35,AI101+AH102-AQ101,IF(A102&lt;'Données projet'!$A$62,$AF$205^A102,IF(A102='Données projet'!$A$62,'Données projet'!$B$62,AI101+AH102-AQ101)))</f>
        <v>377.0999999999998</v>
      </c>
      <c r="AJ102" s="13">
        <f>AI102*VLOOKUP('Données projet'!$B$10,Paramètres!$A$1:$I$89,3,0)*VLOOKUP('Données projet'!$B$10,Paramètres!$A$1:$I$89,5,0)</f>
        <v>317.66903999999988</v>
      </c>
      <c r="AK102" s="13">
        <f t="shared" si="89"/>
        <v>74.868145930079521</v>
      </c>
      <c r="AL102" s="20">
        <f t="shared" si="58"/>
        <v>683.66893216155495</v>
      </c>
      <c r="AM102" s="59">
        <f t="shared" si="59"/>
        <v>977.00226549488821</v>
      </c>
      <c r="AN102" s="59">
        <f ca="1">AVERAGE(OFFSET($AM$3,0,0,'Données projet'!$E$10+1,1))-AVERAGE(OFFSET($H$3,0,0,'Données projet'!$E$10+1,1))</f>
        <v>382.67703499770795</v>
      </c>
      <c r="AO102" s="59">
        <f t="shared" si="90"/>
        <v>237.98926636458219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39.887707608930604</v>
      </c>
      <c r="AV102" s="21">
        <f>EXP(-LN(2)/25)*AV101+(1-EXP(-LN(2)/25))/(LN(2)/25)*Calculateur!AQ102*Calculateur!AS102*VLOOKUP('Données projet'!$B$10,Paramètres!$A$1:$I$89,3,0)*0.475*44/12</f>
        <v>0</v>
      </c>
      <c r="AW102" s="21">
        <f>EXP(-LN(2)/2)*AW101+(1-EXP(-LN(2)/2))/(LN(2)/2)*AQ102*AT102*VLOOKUP('Données projet'!$B$10,Paramètres!$A$1:$I$89,3,0)*0.475*44/12</f>
        <v>0</v>
      </c>
      <c r="AX102" s="21">
        <f t="shared" si="60"/>
        <v>39.887707608930604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25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54.599999999999952</v>
      </c>
      <c r="D103" s="11">
        <f t="shared" si="86"/>
        <v>15.795576599806306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543.40445094587301</v>
      </c>
      <c r="H103" s="67">
        <f t="shared" si="56"/>
        <v>415.93896257799588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4.5474735088646412E-13</v>
      </c>
      <c r="O103" s="13">
        <f>N103*VLOOKUP('Données projet'!$B$9,Paramètres!$A$1:$I$89,3,0)*VLOOKUP('Données projet'!$B$9,Paramètres!$A$1:$I$89,5,0)</f>
        <v>2.7193891583010558E-13</v>
      </c>
      <c r="P103" s="13">
        <f t="shared" si="87"/>
        <v>3.6362267729089988E-12</v>
      </c>
      <c r="Q103" s="20">
        <f t="shared" si="107"/>
        <v>6.8067219078872727E-12</v>
      </c>
      <c r="R103" s="59">
        <f t="shared" si="55"/>
        <v>293.33333333334014</v>
      </c>
      <c r="S103" s="59">
        <f ca="1">AVERAGE(OFFSET($R$3,0,0,'Données projet'!$E$9+1,1))-AVERAGE(OFFSET($H$3,0,0,'Données projet'!$E$9+1,1))</f>
        <v>252.28378247570731</v>
      </c>
      <c r="T103" s="59">
        <f t="shared" si="88"/>
        <v>263.50418595307343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7.3394726537877544</v>
      </c>
      <c r="AA103" s="21">
        <f>EXP(-LN(2)/25)*AA102+(1-EXP(-LN(2)/25))/(LN(2)/25)*Calculateur!V103*Calculateur!X103*VLOOKUP('Données projet'!$B$9,Paramètres!$A$1:$I$89,3,0)*0.475*44/12</f>
        <v>0</v>
      </c>
      <c r="AB103" s="21">
        <f>EXP(-LN(2)/2)*AB102+(1-EXP(-LN(2)/2))/(LN(2)/2)*V103*Y103*VLOOKUP('Données projet'!$B$9,Paramètres!$A$1:$I$89,3,0)*0.475*44/12</f>
        <v>1.1746586703112418E-9</v>
      </c>
      <c r="AC103" s="22">
        <f t="shared" si="57"/>
        <v>7.339472654962413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>
        <f>VLOOKUP(A103,'Données projet'!$A$61:$I$81,2,0)</f>
        <v>383</v>
      </c>
      <c r="AG103" s="12">
        <f>VLOOKUP(A103,'Données projet'!$A$61:$I$81,9,0)</f>
        <v>5.9</v>
      </c>
      <c r="AH103" s="12">
        <f t="array" ref="AH103">INDEX(AG:AG,MIN(IF(ISNUMBER(AG103:AG299),ROW(AG103:AG299),"")))</f>
        <v>5.9</v>
      </c>
      <c r="AI103" s="13">
        <f>IF('Données projet'!$A$62&gt;35,AI102+AH103-AQ102,IF(A103&lt;'Données projet'!$A$62,$AF$205^A103,IF(A103='Données projet'!$A$62,'Données projet'!$B$62,AI102+AH103-AQ102)))</f>
        <v>382.99999999999977</v>
      </c>
      <c r="AJ103" s="13">
        <f>AI103*VLOOKUP('Données projet'!$B$10,Paramètres!$A$1:$I$89,3,0)*VLOOKUP('Données projet'!$B$10,Paramètres!$A$1:$I$89,5,0)</f>
        <v>322.63919999999985</v>
      </c>
      <c r="AK103" s="13">
        <f t="shared" si="89"/>
        <v>75.902227766774701</v>
      </c>
      <c r="AL103" s="20">
        <f t="shared" si="58"/>
        <v>694.12632002713235</v>
      </c>
      <c r="AM103" s="59">
        <f t="shared" si="59"/>
        <v>987.45965336046561</v>
      </c>
      <c r="AN103" s="59">
        <f ca="1">AVERAGE(OFFSET($AM$3,0,0,'Données projet'!$E$10+1,1))-AVERAGE(OFFSET($H$3,0,0,'Données projet'!$E$10+1,1))</f>
        <v>382.67703499770795</v>
      </c>
      <c r="AO103" s="59">
        <f t="shared" si="90"/>
        <v>237.98926636458219</v>
      </c>
      <c r="AP103" s="15">
        <f>IF(ISNA(VLOOKUP(A103,'Données projet'!$A$61:$I$81,3,0)),0,VLOOKUP(A103,'Données projet'!$A$61:$I$81,3,0))</f>
        <v>9</v>
      </c>
      <c r="AQ103" s="15">
        <f>IF(ISNA(VLOOKUP(A103,'Données projet'!$A$61:$I$81,4,0)),0,VLOOKUP(A103,'Données projet'!$A$61:$I$81,4,0))</f>
        <v>55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39.105533991818817</v>
      </c>
      <c r="AV103" s="21">
        <f>EXP(-LN(2)/25)*AV102+(1-EXP(-LN(2)/25))/(LN(2)/25)*Calculateur!AQ103*Calculateur!AS103*VLOOKUP('Données projet'!$B$10,Paramètres!$A$1:$I$89,3,0)*0.475*44/12</f>
        <v>0</v>
      </c>
      <c r="AW103" s="21">
        <f>EXP(-LN(2)/2)*AW102+(1-EXP(-LN(2)/2))/(LN(2)/2)*AQ103*AT103*VLOOKUP('Données projet'!$B$10,Paramètres!$A$1:$I$89,3,0)*0.475*44/12</f>
        <v>0</v>
      </c>
      <c r="AX103" s="21">
        <f t="shared" si="60"/>
        <v>39.105533991818817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25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55.145999999999951</v>
      </c>
      <c r="D104" s="11">
        <f t="shared" si="86"/>
        <v>15.935065385761003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548.69594332868098</v>
      </c>
      <c r="H104" s="67">
        <f t="shared" si="56"/>
        <v>417.13285554686695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4.5474735088646412E-13</v>
      </c>
      <c r="O104" s="13">
        <f>N104*VLOOKUP('Données projet'!$B$9,Paramètres!$A$1:$I$89,3,0)*VLOOKUP('Données projet'!$B$9,Paramètres!$A$1:$I$89,5,0)</f>
        <v>2.7193891583010558E-13</v>
      </c>
      <c r="P104" s="13">
        <f t="shared" si="87"/>
        <v>3.6362267729089988E-12</v>
      </c>
      <c r="Q104" s="20">
        <f t="shared" si="107"/>
        <v>6.8067219078872727E-12</v>
      </c>
      <c r="R104" s="59">
        <f t="shared" si="55"/>
        <v>293.33333333334014</v>
      </c>
      <c r="S104" s="59">
        <f ca="1">AVERAGE(OFFSET($R$3,0,0,'Données projet'!$E$9+1,1))-AVERAGE(OFFSET($H$3,0,0,'Données projet'!$E$9+1,1))</f>
        <v>252.28378247570731</v>
      </c>
      <c r="T104" s="59">
        <f t="shared" si="88"/>
        <v>263.50418595307343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7.1955500716832645</v>
      </c>
      <c r="AA104" s="21">
        <f>EXP(-LN(2)/25)*AA103+(1-EXP(-LN(2)/25))/(LN(2)/25)*Calculateur!V104*Calculateur!X104*VLOOKUP('Données projet'!$B$9,Paramètres!$A$1:$I$89,3,0)*0.475*44/12</f>
        <v>0</v>
      </c>
      <c r="AB104" s="21">
        <f>EXP(-LN(2)/2)*AB103+(1-EXP(-LN(2)/2))/(LN(2)/2)*V104*Y104*VLOOKUP('Données projet'!$B$9,Paramètres!$A$1:$I$89,3,0)*0.475*44/12</f>
        <v>8.3060911135665215E-10</v>
      </c>
      <c r="AC104" s="22">
        <f t="shared" si="57"/>
        <v>7.1955500725138739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5.2</v>
      </c>
      <c r="AI104" s="13">
        <f>IF('Données projet'!$A$62&gt;35,AI103+AH104-AQ103,IF(A104&lt;'Données projet'!$A$62,$AF$205^A104,IF(A104='Données projet'!$A$62,'Données projet'!$B$62,AI103+AH104-AQ103)))</f>
        <v>333.19999999999976</v>
      </c>
      <c r="AJ104" s="13">
        <f>AI104*VLOOKUP('Données projet'!$B$10,Paramètres!$A$1:$I$89,3,0)*VLOOKUP('Données projet'!$B$10,Paramètres!$A$1:$I$89,5,0)</f>
        <v>280.68767999999983</v>
      </c>
      <c r="AK104" s="13">
        <f t="shared" si="89"/>
        <v>67.11231467966806</v>
      </c>
      <c r="AL104" s="20">
        <f t="shared" si="58"/>
        <v>605.75165740042155</v>
      </c>
      <c r="AM104" s="59">
        <f t="shared" si="59"/>
        <v>899.08499073375492</v>
      </c>
      <c r="AN104" s="59">
        <f ca="1">AVERAGE(OFFSET($AM$3,0,0,'Données projet'!$E$10+1,1))-AVERAGE(OFFSET($H$3,0,0,'Données projet'!$E$10+1,1))</f>
        <v>382.67703499770795</v>
      </c>
      <c r="AO104" s="59">
        <f t="shared" si="90"/>
        <v>237.98926636458219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38.338698322259795</v>
      </c>
      <c r="AV104" s="21">
        <f>EXP(-LN(2)/25)*AV103+(1-EXP(-LN(2)/25))/(LN(2)/25)*Calculateur!AQ104*Calculateur!AS104*VLOOKUP('Données projet'!$B$10,Paramètres!$A$1:$I$89,3,0)*0.475*44/12</f>
        <v>0</v>
      </c>
      <c r="AW104" s="21">
        <f>EXP(-LN(2)/2)*AW103+(1-EXP(-LN(2)/2))/(LN(2)/2)*AQ104*AT104*VLOOKUP('Données projet'!$B$10,Paramètres!$A$1:$I$89,3,0)*0.475*44/12</f>
        <v>0</v>
      </c>
      <c r="AX104" s="21">
        <f t="shared" si="60"/>
        <v>38.338698322259795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25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55.69199999999995</v>
      </c>
      <c r="D105" s="11">
        <f t="shared" si="86"/>
        <v>16.07439350416519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553.98619547074838</v>
      </c>
      <c r="H105" s="67">
        <f t="shared" si="56"/>
        <v>418.32646868642092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4.5474735088646412E-13</v>
      </c>
      <c r="O105" s="13">
        <f>N105*VLOOKUP('Données projet'!$B$9,Paramètres!$A$1:$I$89,3,0)*VLOOKUP('Données projet'!$B$9,Paramètres!$A$1:$I$89,5,0)</f>
        <v>2.7193891583010558E-13</v>
      </c>
      <c r="P105" s="13">
        <f t="shared" si="87"/>
        <v>3.6362267729089988E-12</v>
      </c>
      <c r="Q105" s="20">
        <f t="shared" si="107"/>
        <v>6.8067219078872727E-12</v>
      </c>
      <c r="R105" s="59">
        <f t="shared" si="55"/>
        <v>293.33333333334014</v>
      </c>
      <c r="S105" s="59">
        <f ca="1">AVERAGE(OFFSET($R$3,0,0,'Données projet'!$E$9+1,1))-AVERAGE(OFFSET($H$3,0,0,'Données projet'!$E$9+1,1))</f>
        <v>252.28378247570731</v>
      </c>
      <c r="T105" s="59">
        <f t="shared" si="88"/>
        <v>263.50418595307343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7.0544497236297365</v>
      </c>
      <c r="AA105" s="21">
        <f>EXP(-LN(2)/25)*AA104+(1-EXP(-LN(2)/25))/(LN(2)/25)*Calculateur!V105*Calculateur!X105*VLOOKUP('Données projet'!$B$9,Paramètres!$A$1:$I$89,3,0)*0.475*44/12</f>
        <v>0</v>
      </c>
      <c r="AB105" s="21">
        <f>EXP(-LN(2)/2)*AB104+(1-EXP(-LN(2)/2))/(LN(2)/2)*V105*Y105*VLOOKUP('Données projet'!$B$9,Paramètres!$A$1:$I$89,3,0)*0.475*44/12</f>
        <v>5.8732933515562091E-10</v>
      </c>
      <c r="AC105" s="22">
        <f t="shared" si="57"/>
        <v>7.0544497242170658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5.2</v>
      </c>
      <c r="AI105" s="13">
        <f>IF('Données projet'!$A$62&gt;35,AI104+AH105-AQ104,IF(A105&lt;'Données projet'!$A$62,$AF$205^A105,IF(A105='Données projet'!$A$62,'Données projet'!$B$62,AI104+AH105-AQ104)))</f>
        <v>338.39999999999975</v>
      </c>
      <c r="AJ105" s="13">
        <f>AI105*VLOOKUP('Données projet'!$B$10,Paramètres!$A$1:$I$89,3,0)*VLOOKUP('Données projet'!$B$10,Paramètres!$A$1:$I$89,5,0)</f>
        <v>285.06815999999981</v>
      </c>
      <c r="AK105" s="13">
        <f t="shared" si="89"/>
        <v>68.036936010615804</v>
      </c>
      <c r="AL105" s="20">
        <f t="shared" si="58"/>
        <v>614.99137555182222</v>
      </c>
      <c r="AM105" s="59">
        <f t="shared" si="59"/>
        <v>908.32470888515559</v>
      </c>
      <c r="AN105" s="59">
        <f ca="1">AVERAGE(OFFSET($AM$3,0,0,'Données projet'!$E$10+1,1))-AVERAGE(OFFSET($H$3,0,0,'Données projet'!$E$10+1,1))</f>
        <v>382.67703499770795</v>
      </c>
      <c r="AO105" s="59">
        <f t="shared" si="90"/>
        <v>237.98926636458219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37.586899832457249</v>
      </c>
      <c r="AV105" s="21">
        <f>EXP(-LN(2)/25)*AV104+(1-EXP(-LN(2)/25))/(LN(2)/25)*Calculateur!AQ105*Calculateur!AS105*VLOOKUP('Données projet'!$B$10,Paramètres!$A$1:$I$89,3,0)*0.475*44/12</f>
        <v>0</v>
      </c>
      <c r="AW105" s="21">
        <f>EXP(-LN(2)/2)*AW104+(1-EXP(-LN(2)/2))/(LN(2)/2)*AQ105*AT105*VLOOKUP('Données projet'!$B$10,Paramètres!$A$1:$I$89,3,0)*0.475*44/12</f>
        <v>0</v>
      </c>
      <c r="AX105" s="21">
        <f t="shared" si="60"/>
        <v>37.586899832457249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25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56.23799999999995</v>
      </c>
      <c r="D106" s="11">
        <f t="shared" si="86"/>
        <v>16.213562712594495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559.27522093932555</v>
      </c>
      <c r="H106" s="67">
        <f t="shared" si="56"/>
        <v>419.51980505776862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4.5474735088646412E-13</v>
      </c>
      <c r="O106" s="13">
        <f>N106*VLOOKUP('Données projet'!$B$9,Paramètres!$A$1:$I$89,3,0)*VLOOKUP('Données projet'!$B$9,Paramètres!$A$1:$I$89,5,0)</f>
        <v>2.7193891583010558E-13</v>
      </c>
      <c r="P106" s="13">
        <f t="shared" si="87"/>
        <v>3.6362267729089988E-12</v>
      </c>
      <c r="Q106" s="20">
        <f t="shared" si="107"/>
        <v>6.8067219078872727E-12</v>
      </c>
      <c r="R106" s="59">
        <f t="shared" si="55"/>
        <v>293.33333333334014</v>
      </c>
      <c r="S106" s="59">
        <f ca="1">AVERAGE(OFFSET($R$3,0,0,'Données projet'!$E$9+1,1))-AVERAGE(OFFSET($H$3,0,0,'Données projet'!$E$9+1,1))</f>
        <v>252.28378247570731</v>
      </c>
      <c r="T106" s="59">
        <f t="shared" si="88"/>
        <v>263.50418595307343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6.9161162673388237</v>
      </c>
      <c r="AA106" s="21">
        <f>EXP(-LN(2)/25)*AA105+(1-EXP(-LN(2)/25))/(LN(2)/25)*Calculateur!V106*Calculateur!X106*VLOOKUP('Données projet'!$B$9,Paramètres!$A$1:$I$89,3,0)*0.475*44/12</f>
        <v>0</v>
      </c>
      <c r="AB106" s="21">
        <f>EXP(-LN(2)/2)*AB105+(1-EXP(-LN(2)/2))/(LN(2)/2)*V106*Y106*VLOOKUP('Données projet'!$B$9,Paramètres!$A$1:$I$89,3,0)*0.475*44/12</f>
        <v>4.1530455567832608E-10</v>
      </c>
      <c r="AC106" s="22">
        <f t="shared" si="57"/>
        <v>6.9161162677541279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5.2</v>
      </c>
      <c r="AI106" s="13">
        <f>IF('Données projet'!$A$62&gt;35,AI105+AH106-AQ105,IF(A106&lt;'Données projet'!$A$62,$AF$205^A106,IF(A106='Données projet'!$A$62,'Données projet'!$B$62,AI105+AH106-AQ105)))</f>
        <v>343.59999999999974</v>
      </c>
      <c r="AJ106" s="13">
        <f>AI106*VLOOKUP('Données projet'!$B$10,Paramètres!$A$1:$I$89,3,0)*VLOOKUP('Données projet'!$B$10,Paramètres!$A$1:$I$89,5,0)</f>
        <v>289.44863999999978</v>
      </c>
      <c r="AK106" s="13">
        <f t="shared" si="89"/>
        <v>68.959904924746269</v>
      </c>
      <c r="AL106" s="20">
        <f t="shared" si="58"/>
        <v>624.22821574393265</v>
      </c>
      <c r="AM106" s="59">
        <f t="shared" si="59"/>
        <v>917.56154907726591</v>
      </c>
      <c r="AN106" s="59">
        <f ca="1">AVERAGE(OFFSET($AM$3,0,0,'Données projet'!$E$10+1,1))-AVERAGE(OFFSET($H$3,0,0,'Données projet'!$E$10+1,1))</f>
        <v>382.67703499770795</v>
      </c>
      <c r="AO106" s="59">
        <f t="shared" si="90"/>
        <v>237.98926636458219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36.849843652487934</v>
      </c>
      <c r="AV106" s="21">
        <f>EXP(-LN(2)/25)*AV105+(1-EXP(-LN(2)/25))/(LN(2)/25)*Calculateur!AQ106*Calculateur!AS106*VLOOKUP('Données projet'!$B$10,Paramètres!$A$1:$I$89,3,0)*0.475*44/12</f>
        <v>0</v>
      </c>
      <c r="AW106" s="21">
        <f>EXP(-LN(2)/2)*AW105+(1-EXP(-LN(2)/2))/(LN(2)/2)*AQ106*AT106*VLOOKUP('Données projet'!$B$10,Paramètres!$A$1:$I$89,3,0)*0.475*44/12</f>
        <v>0</v>
      </c>
      <c r="AX106" s="21">
        <f t="shared" si="60"/>
        <v>36.849843652487934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25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56.783999999999949</v>
      </c>
      <c r="D107" s="11">
        <f t="shared" si="86"/>
        <v>16.352574732529348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564.5630330230332</v>
      </c>
      <c r="H107" s="67">
        <f t="shared" si="56"/>
        <v>420.71286765915517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4.5474735088646412E-13</v>
      </c>
      <c r="O107" s="13">
        <f>N107*VLOOKUP('Données projet'!$B$9,Paramètres!$A$1:$I$89,3,0)*VLOOKUP('Données projet'!$B$9,Paramètres!$A$1:$I$89,5,0)</f>
        <v>2.7193891583010558E-13</v>
      </c>
      <c r="P107" s="13">
        <f t="shared" si="87"/>
        <v>3.6362267729089988E-12</v>
      </c>
      <c r="Q107" s="20">
        <f t="shared" si="107"/>
        <v>6.8067219078872727E-12</v>
      </c>
      <c r="R107" s="59">
        <f t="shared" si="55"/>
        <v>293.33333333334014</v>
      </c>
      <c r="S107" s="59">
        <f ca="1">AVERAGE(OFFSET($R$3,0,0,'Données projet'!$E$9+1,1))-AVERAGE(OFFSET($H$3,0,0,'Données projet'!$E$9+1,1))</f>
        <v>252.28378247570731</v>
      </c>
      <c r="T107" s="59">
        <f t="shared" si="88"/>
        <v>263.50418595307343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6.7804954457506987</v>
      </c>
      <c r="AA107" s="21">
        <f>EXP(-LN(2)/25)*AA106+(1-EXP(-LN(2)/25))/(LN(2)/25)*Calculateur!V107*Calculateur!X107*VLOOKUP('Données projet'!$B$9,Paramètres!$A$1:$I$89,3,0)*0.475*44/12</f>
        <v>0</v>
      </c>
      <c r="AB107" s="21">
        <f>EXP(-LN(2)/2)*AB106+(1-EXP(-LN(2)/2))/(LN(2)/2)*V107*Y107*VLOOKUP('Données projet'!$B$9,Paramètres!$A$1:$I$89,3,0)*0.475*44/12</f>
        <v>2.9366466757781046E-10</v>
      </c>
      <c r="AC107" s="22">
        <f t="shared" si="57"/>
        <v>6.7804954460443634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5.2</v>
      </c>
      <c r="AI107" s="13">
        <f>IF('Données projet'!$A$62&gt;35,AI106+AH107-AQ106,IF(A107&lt;'Données projet'!$A$62,$AF$205^A107,IF(A107='Données projet'!$A$62,'Données projet'!$B$62,AI106+AH107-AQ106)))</f>
        <v>348.79999999999973</v>
      </c>
      <c r="AJ107" s="13">
        <f>AI107*VLOOKUP('Données projet'!$B$10,Paramètres!$A$1:$I$89,3,0)*VLOOKUP('Données projet'!$B$10,Paramètres!$A$1:$I$89,5,0)</f>
        <v>293.82911999999982</v>
      </c>
      <c r="AK107" s="13">
        <f t="shared" si="89"/>
        <v>69.881249317970031</v>
      </c>
      <c r="AL107" s="20">
        <f t="shared" si="58"/>
        <v>633.4622265621307</v>
      </c>
      <c r="AM107" s="59">
        <f t="shared" si="59"/>
        <v>926.79555989546407</v>
      </c>
      <c r="AN107" s="59">
        <f ca="1">AVERAGE(OFFSET($AM$3,0,0,'Données projet'!$E$10+1,1))-AVERAGE(OFFSET($H$3,0,0,'Données projet'!$E$10+1,1))</f>
        <v>382.67703499770795</v>
      </c>
      <c r="AO107" s="59">
        <f t="shared" si="90"/>
        <v>237.98926636458219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36.127240694647938</v>
      </c>
      <c r="AV107" s="21">
        <f>EXP(-LN(2)/25)*AV106+(1-EXP(-LN(2)/25))/(LN(2)/25)*Calculateur!AQ107*Calculateur!AS107*VLOOKUP('Données projet'!$B$10,Paramètres!$A$1:$I$89,3,0)*0.475*44/12</f>
        <v>0</v>
      </c>
      <c r="AW107" s="21">
        <f>EXP(-LN(2)/2)*AW106+(1-EXP(-LN(2)/2))/(LN(2)/2)*AQ107*AT107*VLOOKUP('Données projet'!$B$10,Paramètres!$A$1:$I$89,3,0)*0.475*44/12</f>
        <v>0</v>
      </c>
      <c r="AX107" s="21">
        <f t="shared" si="60"/>
        <v>36.127240694647938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25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57.329999999999949</v>
      </c>
      <c r="D108" s="11">
        <f t="shared" si="86"/>
        <v>16.491431250436072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569.84964474020785</v>
      </c>
      <c r="H108" s="67">
        <f t="shared" si="56"/>
        <v>421.90565942784269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4.5474735088646412E-13</v>
      </c>
      <c r="O108" s="13">
        <f>N108*VLOOKUP('Données projet'!$B$9,Paramètres!$A$1:$I$89,3,0)*VLOOKUP('Données projet'!$B$9,Paramètres!$A$1:$I$89,5,0)</f>
        <v>2.7193891583010558E-13</v>
      </c>
      <c r="P108" s="13">
        <f t="shared" si="87"/>
        <v>3.6362267729089988E-12</v>
      </c>
      <c r="Q108" s="20">
        <f t="shared" si="107"/>
        <v>6.8067219078872727E-12</v>
      </c>
      <c r="R108" s="59">
        <f t="shared" si="55"/>
        <v>293.33333333334014</v>
      </c>
      <c r="S108" s="59">
        <f ca="1">AVERAGE(OFFSET($R$3,0,0,'Données projet'!$E$9+1,1))-AVERAGE(OFFSET($H$3,0,0,'Données projet'!$E$9+1,1))</f>
        <v>252.28378247570731</v>
      </c>
      <c r="T108" s="59">
        <f t="shared" si="88"/>
        <v>263.50418595307343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6.6475340657533835</v>
      </c>
      <c r="AA108" s="21">
        <f>EXP(-LN(2)/25)*AA107+(1-EXP(-LN(2)/25))/(LN(2)/25)*Calculateur!V108*Calculateur!X108*VLOOKUP('Données projet'!$B$9,Paramètres!$A$1:$I$89,3,0)*0.475*44/12</f>
        <v>0</v>
      </c>
      <c r="AB108" s="21">
        <f>EXP(-LN(2)/2)*AB107+(1-EXP(-LN(2)/2))/(LN(2)/2)*V108*Y108*VLOOKUP('Données projet'!$B$9,Paramètres!$A$1:$I$89,3,0)*0.475*44/12</f>
        <v>2.0765227783916304E-10</v>
      </c>
      <c r="AC108" s="22">
        <f t="shared" si="57"/>
        <v>6.647534065961036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5.2</v>
      </c>
      <c r="AI108" s="13">
        <f>IF('Données projet'!$A$62&gt;35,AI107+AH108-AQ107,IF(A108&lt;'Données projet'!$A$62,$AF$205^A108,IF(A108='Données projet'!$A$62,'Données projet'!$B$62,AI107+AH108-AQ107)))</f>
        <v>353.99999999999972</v>
      </c>
      <c r="AJ108" s="13">
        <f>AI108*VLOOKUP('Données projet'!$B$10,Paramètres!$A$1:$I$89,3,0)*VLOOKUP('Données projet'!$B$10,Paramètres!$A$1:$I$89,5,0)</f>
        <v>298.2095999999998</v>
      </c>
      <c r="AK108" s="13">
        <f t="shared" si="89"/>
        <v>70.80099620669624</v>
      </c>
      <c r="AL108" s="20">
        <f t="shared" si="58"/>
        <v>642.69345505999547</v>
      </c>
      <c r="AM108" s="59">
        <f t="shared" si="59"/>
        <v>936.02678839332884</v>
      </c>
      <c r="AN108" s="59">
        <f ca="1">AVERAGE(OFFSET($AM$3,0,0,'Données projet'!$E$10+1,1))-AVERAGE(OFFSET($H$3,0,0,'Données projet'!$E$10+1,1))</f>
        <v>382.67703499770795</v>
      </c>
      <c r="AO108" s="59">
        <f t="shared" si="90"/>
        <v>237.98926636458219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35.418807540066894</v>
      </c>
      <c r="AV108" s="21">
        <f>EXP(-LN(2)/25)*AV107+(1-EXP(-LN(2)/25))/(LN(2)/25)*Calculateur!AQ108*Calculateur!AS108*VLOOKUP('Données projet'!$B$10,Paramètres!$A$1:$I$89,3,0)*0.475*44/12</f>
        <v>0</v>
      </c>
      <c r="AW108" s="21">
        <f>EXP(-LN(2)/2)*AW107+(1-EXP(-LN(2)/2))/(LN(2)/2)*AQ108*AT108*VLOOKUP('Données projet'!$B$10,Paramètres!$A$1:$I$89,3,0)*0.475*44/12</f>
        <v>0</v>
      </c>
      <c r="AX108" s="21">
        <f t="shared" si="60"/>
        <v>35.418807540066894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25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57.875999999999948</v>
      </c>
      <c r="D109" s="11">
        <f t="shared" si="86"/>
        <v>16.630133918805559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575.13506884691969</v>
      </c>
      <c r="H109" s="67">
        <f t="shared" si="56"/>
        <v>423.09818324191957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4.5474735088646412E-13</v>
      </c>
      <c r="O109" s="13">
        <f>N109*VLOOKUP('Données projet'!$B$9,Paramètres!$A$1:$I$89,3,0)*VLOOKUP('Données projet'!$B$9,Paramètres!$A$1:$I$89,5,0)</f>
        <v>2.7193891583010558E-13</v>
      </c>
      <c r="P109" s="13">
        <f t="shared" si="87"/>
        <v>3.6362267729089988E-12</v>
      </c>
      <c r="Q109" s="20">
        <f t="shared" si="107"/>
        <v>6.8067219078872727E-12</v>
      </c>
      <c r="R109" s="59">
        <f t="shared" si="55"/>
        <v>293.33333333334014</v>
      </c>
      <c r="S109" s="59">
        <f ca="1">AVERAGE(OFFSET($R$3,0,0,'Données projet'!$E$9+1,1))-AVERAGE(OFFSET($H$3,0,0,'Données projet'!$E$9+1,1))</f>
        <v>252.28378247570731</v>
      </c>
      <c r="T109" s="59">
        <f t="shared" si="88"/>
        <v>263.50418595307343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6.5171799773193815</v>
      </c>
      <c r="AA109" s="21">
        <f>EXP(-LN(2)/25)*AA108+(1-EXP(-LN(2)/25))/(LN(2)/25)*Calculateur!V109*Calculateur!X109*VLOOKUP('Données projet'!$B$9,Paramètres!$A$1:$I$89,3,0)*0.475*44/12</f>
        <v>0</v>
      </c>
      <c r="AB109" s="21">
        <f>EXP(-LN(2)/2)*AB108+(1-EXP(-LN(2)/2))/(LN(2)/2)*V109*Y109*VLOOKUP('Données projet'!$B$9,Paramètres!$A$1:$I$89,3,0)*0.475*44/12</f>
        <v>1.4683233378890523E-10</v>
      </c>
      <c r="AC109" s="22">
        <f t="shared" si="57"/>
        <v>6.5171799774662142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5.2</v>
      </c>
      <c r="AI109" s="13">
        <f>IF('Données projet'!$A$62&gt;35,AI108+AH109-AQ108,IF(A109&lt;'Données projet'!$A$62,$AF$205^A109,IF(A109='Données projet'!$A$62,'Données projet'!$B$62,AI108+AH109-AQ108)))</f>
        <v>359.1999999999997</v>
      </c>
      <c r="AJ109" s="13">
        <f>AI109*VLOOKUP('Données projet'!$B$10,Paramètres!$A$1:$I$89,3,0)*VLOOKUP('Données projet'!$B$10,Paramètres!$A$1:$I$89,5,0)</f>
        <v>302.59007999999977</v>
      </c>
      <c r="AK109" s="13">
        <f t="shared" si="89"/>
        <v>71.719171768065962</v>
      </c>
      <c r="AL109" s="20">
        <f t="shared" si="58"/>
        <v>651.92194682938123</v>
      </c>
      <c r="AM109" s="59">
        <f t="shared" si="59"/>
        <v>945.2552801627146</v>
      </c>
      <c r="AN109" s="59">
        <f ca="1">AVERAGE(OFFSET($AM$3,0,0,'Données projet'!$E$10+1,1))-AVERAGE(OFFSET($H$3,0,0,'Données projet'!$E$10+1,1))</f>
        <v>382.67703499770795</v>
      </c>
      <c r="AO109" s="59">
        <f t="shared" si="90"/>
        <v>237.98926636458219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34.724266327545628</v>
      </c>
      <c r="AV109" s="21">
        <f>EXP(-LN(2)/25)*AV108+(1-EXP(-LN(2)/25))/(LN(2)/25)*Calculateur!AQ109*Calculateur!AS109*VLOOKUP('Données projet'!$B$10,Paramètres!$A$1:$I$89,3,0)*0.475*44/12</f>
        <v>0</v>
      </c>
      <c r="AW109" s="21">
        <f>EXP(-LN(2)/2)*AW108+(1-EXP(-LN(2)/2))/(LN(2)/2)*AQ109*AT109*VLOOKUP('Données projet'!$B$10,Paramètres!$A$1:$I$89,3,0)*0.475*44/12</f>
        <v>0</v>
      </c>
      <c r="AX109" s="21">
        <f t="shared" si="60"/>
        <v>34.724266327545628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25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58.421999999999947</v>
      </c>
      <c r="D110" s="11">
        <f t="shared" si="86"/>
        <v>16.768684357151628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580.41931784467886</v>
      </c>
      <c r="H110" s="67">
        <f t="shared" si="56"/>
        <v>424.29044192203901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4.5474735088646412E-13</v>
      </c>
      <c r="O110" s="13">
        <f>N110*VLOOKUP('Données projet'!$B$9,Paramètres!$A$1:$I$89,3,0)*VLOOKUP('Données projet'!$B$9,Paramètres!$A$1:$I$89,5,0)</f>
        <v>2.7193891583010558E-13</v>
      </c>
      <c r="P110" s="13">
        <f t="shared" si="87"/>
        <v>3.6362267729089988E-12</v>
      </c>
      <c r="Q110" s="20">
        <f t="shared" si="107"/>
        <v>6.8067219078872727E-12</v>
      </c>
      <c r="R110" s="59">
        <f t="shared" si="55"/>
        <v>293.33333333334014</v>
      </c>
      <c r="S110" s="59">
        <f ca="1">AVERAGE(OFFSET($R$3,0,0,'Données projet'!$E$9+1,1))-AVERAGE(OFFSET($H$3,0,0,'Données projet'!$E$9+1,1))</f>
        <v>252.28378247570731</v>
      </c>
      <c r="T110" s="59">
        <f t="shared" si="88"/>
        <v>263.50418595307343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6.3893820530514276</v>
      </c>
      <c r="AA110" s="21">
        <f>EXP(-LN(2)/25)*AA109+(1-EXP(-LN(2)/25))/(LN(2)/25)*Calculateur!V110*Calculateur!X110*VLOOKUP('Données projet'!$B$9,Paramètres!$A$1:$I$89,3,0)*0.475*44/12</f>
        <v>0</v>
      </c>
      <c r="AB110" s="21">
        <f>EXP(-LN(2)/2)*AB109+(1-EXP(-LN(2)/2))/(LN(2)/2)*V110*Y110*VLOOKUP('Données projet'!$B$9,Paramètres!$A$1:$I$89,3,0)*0.475*44/12</f>
        <v>1.0382613891958152E-10</v>
      </c>
      <c r="AC110" s="22">
        <f t="shared" si="57"/>
        <v>6.3893820531552539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5.2</v>
      </c>
      <c r="AI110" s="13">
        <f>IF('Données projet'!$A$62&gt;35,AI109+AH110-AQ109,IF(A110&lt;'Données projet'!$A$62,$AF$205^A110,IF(A110='Données projet'!$A$62,'Données projet'!$B$62,AI109+AH110-AQ109)))</f>
        <v>364.39999999999969</v>
      </c>
      <c r="AJ110" s="13">
        <f>AI110*VLOOKUP('Données projet'!$B$10,Paramètres!$A$1:$I$89,3,0)*VLOOKUP('Données projet'!$B$10,Paramètres!$A$1:$I$89,5,0)</f>
        <v>306.97055999999975</v>
      </c>
      <c r="AK110" s="13">
        <f t="shared" si="89"/>
        <v>72.635801377788624</v>
      </c>
      <c r="AL110" s="20">
        <f t="shared" si="58"/>
        <v>661.14774606631465</v>
      </c>
      <c r="AM110" s="59">
        <f t="shared" si="59"/>
        <v>954.48107939964802</v>
      </c>
      <c r="AN110" s="59">
        <f ca="1">AVERAGE(OFFSET($AM$3,0,0,'Données projet'!$E$10+1,1))-AVERAGE(OFFSET($H$3,0,0,'Données projet'!$E$10+1,1))</f>
        <v>382.67703499770795</v>
      </c>
      <c r="AO110" s="59">
        <f t="shared" si="90"/>
        <v>237.98926636458219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34.043344644573594</v>
      </c>
      <c r="AV110" s="21">
        <f>EXP(-LN(2)/25)*AV109+(1-EXP(-LN(2)/25))/(LN(2)/25)*Calculateur!AQ110*Calculateur!AS110*VLOOKUP('Données projet'!$B$10,Paramètres!$A$1:$I$89,3,0)*0.475*44/12</f>
        <v>0</v>
      </c>
      <c r="AW110" s="21">
        <f>EXP(-LN(2)/2)*AW109+(1-EXP(-LN(2)/2))/(LN(2)/2)*AQ110*AT110*VLOOKUP('Données projet'!$B$10,Paramètres!$A$1:$I$89,3,0)*0.475*44/12</f>
        <v>0</v>
      </c>
      <c r="AX110" s="21">
        <f t="shared" si="60"/>
        <v>34.043344644573594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25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58.967999999999947</v>
      </c>
      <c r="D111" s="11">
        <f t="shared" si="86"/>
        <v>16.907084152971102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585.70240398784688</v>
      </c>
      <c r="H111" s="67">
        <f t="shared" si="56"/>
        <v>425.48243823309122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4.5474735088646412E-13</v>
      </c>
      <c r="O111" s="13">
        <f>N111*VLOOKUP('Données projet'!$B$9,Paramètres!$A$1:$I$89,3,0)*VLOOKUP('Données projet'!$B$9,Paramètres!$A$1:$I$89,5,0)</f>
        <v>2.7193891583010558E-13</v>
      </c>
      <c r="P111" s="13">
        <f t="shared" si="87"/>
        <v>3.6362267729089988E-12</v>
      </c>
      <c r="Q111" s="20">
        <f t="shared" si="107"/>
        <v>6.8067219078872727E-12</v>
      </c>
      <c r="R111" s="59">
        <f t="shared" si="55"/>
        <v>293.33333333334014</v>
      </c>
      <c r="S111" s="59">
        <f ca="1">AVERAGE(OFFSET($R$3,0,0,'Données projet'!$E$9+1,1))-AVERAGE(OFFSET($H$3,0,0,'Données projet'!$E$9+1,1))</f>
        <v>252.28378247570731</v>
      </c>
      <c r="T111" s="59">
        <f t="shared" si="88"/>
        <v>263.50418595307343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6.2640901681293313</v>
      </c>
      <c r="AA111" s="21">
        <f>EXP(-LN(2)/25)*AA110+(1-EXP(-LN(2)/25))/(LN(2)/25)*Calculateur!V111*Calculateur!X111*VLOOKUP('Données projet'!$B$9,Paramètres!$A$1:$I$89,3,0)*0.475*44/12</f>
        <v>0</v>
      </c>
      <c r="AB111" s="21">
        <f>EXP(-LN(2)/2)*AB110+(1-EXP(-LN(2)/2))/(LN(2)/2)*V111*Y111*VLOOKUP('Données projet'!$B$9,Paramètres!$A$1:$I$89,3,0)*0.475*44/12</f>
        <v>7.3416166894452614E-11</v>
      </c>
      <c r="AC111" s="22">
        <f t="shared" si="57"/>
        <v>6.2640901682027472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5.2</v>
      </c>
      <c r="AI111" s="13">
        <f>IF('Données projet'!$A$62&gt;35,AI110+AH111-AQ110,IF(A111&lt;'Données projet'!$A$62,$AF$205^A111,IF(A111='Données projet'!$A$62,'Données projet'!$B$62,AI110+AH111-AQ110)))</f>
        <v>369.59999999999968</v>
      </c>
      <c r="AJ111" s="13">
        <f>AI111*VLOOKUP('Données projet'!$B$10,Paramètres!$A$1:$I$89,3,0)*VLOOKUP('Données projet'!$B$10,Paramètres!$A$1:$I$89,5,0)</f>
        <v>311.35103999999973</v>
      </c>
      <c r="AK111" s="13">
        <f t="shared" si="89"/>
        <v>73.550909645758153</v>
      </c>
      <c r="AL111" s="20">
        <f t="shared" si="58"/>
        <v>670.37089563302823</v>
      </c>
      <c r="AM111" s="59">
        <f t="shared" si="59"/>
        <v>963.7042289663616</v>
      </c>
      <c r="AN111" s="59">
        <f ca="1">AVERAGE(OFFSET($AM$3,0,0,'Données projet'!$E$10+1,1))-AVERAGE(OFFSET($H$3,0,0,'Données projet'!$E$10+1,1))</f>
        <v>382.67703499770795</v>
      </c>
      <c r="AO111" s="59">
        <f t="shared" si="90"/>
        <v>237.98926636458219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33.375775420483428</v>
      </c>
      <c r="AV111" s="21">
        <f>EXP(-LN(2)/25)*AV110+(1-EXP(-LN(2)/25))/(LN(2)/25)*Calculateur!AQ111*Calculateur!AS111*VLOOKUP('Données projet'!$B$10,Paramètres!$A$1:$I$89,3,0)*0.475*44/12</f>
        <v>0</v>
      </c>
      <c r="AW111" s="21">
        <f>EXP(-LN(2)/2)*AW110+(1-EXP(-LN(2)/2))/(LN(2)/2)*AQ111*AT111*VLOOKUP('Données projet'!$B$10,Paramètres!$A$1:$I$89,3,0)*0.475*44/12</f>
        <v>0</v>
      </c>
      <c r="AX111" s="21">
        <f t="shared" si="60"/>
        <v>33.375775420483428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25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59.513999999999946</v>
      </c>
      <c r="D112" s="11">
        <f t="shared" si="86"/>
        <v>17.045334862667175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590.98433929076384</v>
      </c>
      <c r="H112" s="67">
        <f t="shared" si="56"/>
        <v>426.67417488581191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4.5474735088646412E-13</v>
      </c>
      <c r="O112" s="13">
        <f>N112*VLOOKUP('Données projet'!$B$9,Paramètres!$A$1:$I$89,3,0)*VLOOKUP('Données projet'!$B$9,Paramètres!$A$1:$I$89,5,0)</f>
        <v>2.7193891583010558E-13</v>
      </c>
      <c r="P112" s="13">
        <f t="shared" si="87"/>
        <v>3.6362267729089988E-12</v>
      </c>
      <c r="Q112" s="20">
        <f t="shared" si="107"/>
        <v>6.8067219078872727E-12</v>
      </c>
      <c r="R112" s="59">
        <f t="shared" si="55"/>
        <v>293.33333333334014</v>
      </c>
      <c r="S112" s="59">
        <f ca="1">AVERAGE(OFFSET($R$3,0,0,'Données projet'!$E$9+1,1))-AVERAGE(OFFSET($H$3,0,0,'Données projet'!$E$9+1,1))</f>
        <v>252.28378247570731</v>
      </c>
      <c r="T112" s="59">
        <f t="shared" si="88"/>
        <v>263.50418595307343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6.1412551806500533</v>
      </c>
      <c r="AA112" s="21">
        <f>EXP(-LN(2)/25)*AA111+(1-EXP(-LN(2)/25))/(LN(2)/25)*Calculateur!V112*Calculateur!X112*VLOOKUP('Données projet'!$B$9,Paramètres!$A$1:$I$89,3,0)*0.475*44/12</f>
        <v>0</v>
      </c>
      <c r="AB112" s="21">
        <f>EXP(-LN(2)/2)*AB111+(1-EXP(-LN(2)/2))/(LN(2)/2)*V112*Y112*VLOOKUP('Données projet'!$B$9,Paramètres!$A$1:$I$89,3,0)*0.475*44/12</f>
        <v>5.191306945979076E-11</v>
      </c>
      <c r="AC112" s="22">
        <f t="shared" si="57"/>
        <v>6.1412551807019664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5.2</v>
      </c>
      <c r="AI112" s="13">
        <f>IF('Données projet'!$A$62&gt;35,AI111+AH112-AQ111,IF(A112&lt;'Données projet'!$A$62,$AF$205^A112,IF(A112='Données projet'!$A$62,'Données projet'!$B$62,AI111+AH112-AQ111)))</f>
        <v>374.79999999999967</v>
      </c>
      <c r="AJ112" s="13">
        <f>AI112*VLOOKUP('Données projet'!$B$10,Paramètres!$A$1:$I$89,3,0)*VLOOKUP('Données projet'!$B$10,Paramètres!$A$1:$I$89,5,0)</f>
        <v>315.73151999999976</v>
      </c>
      <c r="AK112" s="13">
        <f t="shared" si="89"/>
        <v>74.464520449607249</v>
      </c>
      <c r="AL112" s="20">
        <f t="shared" si="58"/>
        <v>679.59143711639888</v>
      </c>
      <c r="AM112" s="59">
        <f t="shared" si="59"/>
        <v>972.92477044973225</v>
      </c>
      <c r="AN112" s="59">
        <f ca="1">AVERAGE(OFFSET($AM$3,0,0,'Données projet'!$E$10+1,1))-AVERAGE(OFFSET($H$3,0,0,'Données projet'!$E$10+1,1))</f>
        <v>382.67703499770795</v>
      </c>
      <c r="AO112" s="59">
        <f t="shared" si="90"/>
        <v>237.98926636458219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32.721296821700648</v>
      </c>
      <c r="AV112" s="21">
        <f>EXP(-LN(2)/25)*AV111+(1-EXP(-LN(2)/25))/(LN(2)/25)*Calculateur!AQ112*Calculateur!AS112*VLOOKUP('Données projet'!$B$10,Paramètres!$A$1:$I$89,3,0)*0.475*44/12</f>
        <v>0</v>
      </c>
      <c r="AW112" s="21">
        <f>EXP(-LN(2)/2)*AW111+(1-EXP(-LN(2)/2))/(LN(2)/2)*AQ112*AT112*VLOOKUP('Données projet'!$B$10,Paramètres!$A$1:$I$89,3,0)*0.475*44/12</f>
        <v>0</v>
      </c>
      <c r="AX112" s="21">
        <f t="shared" si="60"/>
        <v>32.721296821700648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25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60.059999999999945</v>
      </c>
      <c r="D113" s="11">
        <f t="shared" si="86"/>
        <v>17.183438012437954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596.26513553460848</v>
      </c>
      <c r="H113" s="67">
        <f t="shared" si="56"/>
        <v>427.8656545383293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4.5474735088646412E-13</v>
      </c>
      <c r="O113" s="13">
        <f>N113*VLOOKUP('Données projet'!$B$9,Paramètres!$A$1:$I$89,3,0)*VLOOKUP('Données projet'!$B$9,Paramètres!$A$1:$I$89,5,0)</f>
        <v>2.7193891583010558E-13</v>
      </c>
      <c r="P113" s="13">
        <f t="shared" si="87"/>
        <v>3.6362267729089988E-12</v>
      </c>
      <c r="Q113" s="20">
        <f t="shared" si="107"/>
        <v>6.8067219078872727E-12</v>
      </c>
      <c r="R113" s="59">
        <f t="shared" si="55"/>
        <v>293.33333333334014</v>
      </c>
      <c r="S113" s="59">
        <f ca="1">AVERAGE(OFFSET($R$3,0,0,'Données projet'!$E$9+1,1))-AVERAGE(OFFSET($H$3,0,0,'Données projet'!$E$9+1,1))</f>
        <v>252.28378247570731</v>
      </c>
      <c r="T113" s="59">
        <f t="shared" si="88"/>
        <v>263.50418595307343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6.0208289123532994</v>
      </c>
      <c r="AA113" s="21">
        <f>EXP(-LN(2)/25)*AA112+(1-EXP(-LN(2)/25))/(LN(2)/25)*Calculateur!V113*Calculateur!X113*VLOOKUP('Données projet'!$B$9,Paramètres!$A$1:$I$89,3,0)*0.475*44/12</f>
        <v>0</v>
      </c>
      <c r="AB113" s="21">
        <f>EXP(-LN(2)/2)*AB112+(1-EXP(-LN(2)/2))/(LN(2)/2)*V113*Y113*VLOOKUP('Données projet'!$B$9,Paramètres!$A$1:$I$89,3,0)*0.475*44/12</f>
        <v>3.6708083447226307E-11</v>
      </c>
      <c r="AC113" s="22">
        <f t="shared" si="57"/>
        <v>6.0208289123900078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>
        <f>VLOOKUP(A113,'Données projet'!$A$61:$I$81,2,0)</f>
        <v>380</v>
      </c>
      <c r="AG113" s="12">
        <f>VLOOKUP(A113,'Données projet'!$A$61:$I$81,9,0)</f>
        <v>5.2</v>
      </c>
      <c r="AH113" s="12">
        <f t="array" ref="AH113">INDEX(AG:AG,MIN(IF(ISNUMBER(AG113:AG309),ROW(AG113:AG309),"")))</f>
        <v>5.2</v>
      </c>
      <c r="AI113" s="13">
        <f>IF('Données projet'!$A$62&gt;35,AI112+AH113-AQ112,IF(A113&lt;'Données projet'!$A$62,$AF$205^A113,IF(A113='Données projet'!$A$62,'Données projet'!$B$62,AI112+AH113-AQ112)))</f>
        <v>379.99999999999966</v>
      </c>
      <c r="AJ113" s="13">
        <f>AI113*VLOOKUP('Données projet'!$B$10,Paramètres!$A$1:$I$89,3,0)*VLOOKUP('Données projet'!$B$10,Paramètres!$A$1:$I$89,5,0)</f>
        <v>320.11199999999974</v>
      </c>
      <c r="AK113" s="13">
        <f t="shared" si="89"/>
        <v>75.376656966346744</v>
      </c>
      <c r="AL113" s="20">
        <f t="shared" si="58"/>
        <v>688.80941088305337</v>
      </c>
      <c r="AM113" s="59">
        <f t="shared" si="59"/>
        <v>982.14274421638675</v>
      </c>
      <c r="AN113" s="59">
        <f ca="1">AVERAGE(OFFSET($AM$3,0,0,'Données projet'!$E$10+1,1))-AVERAGE(OFFSET($H$3,0,0,'Données projet'!$E$10+1,1))</f>
        <v>382.67703499770795</v>
      </c>
      <c r="AO113" s="59">
        <f t="shared" si="90"/>
        <v>237.98926636458219</v>
      </c>
      <c r="AP113" s="15">
        <f>IF(ISNA(VLOOKUP(A113,'Données projet'!$A$61:$I$81,3,0)),0,VLOOKUP(A113,'Données projet'!$A$61:$I$81,3,0))</f>
        <v>10</v>
      </c>
      <c r="AQ113" s="15">
        <f>IF(ISNA(VLOOKUP(A113,'Données projet'!$A$61:$I$81,4,0)),0,VLOOKUP(A113,'Données projet'!$A$61:$I$81,4,0))</f>
        <v>51</v>
      </c>
      <c r="AR113" s="16">
        <f>IF(ISNA(VLOOKUP(A113,'Données projet'!$A$61:$I$81,5,0)),0%,VLOOKUP(A113,'Données projet'!$A$61:$I$81,5,0)*VLOOKUP('Données projet'!$B$10,Paramètres!$A$1:$I$89,7,0))</f>
        <v>0.43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52.501926221515426</v>
      </c>
      <c r="AV113" s="21">
        <f>EXP(-LN(2)/25)*AV112+(1-EXP(-LN(2)/25))/(LN(2)/25)*Calculateur!AQ113*Calculateur!AS113*VLOOKUP('Données projet'!$B$10,Paramètres!$A$1:$I$89,3,0)*0.475*44/12</f>
        <v>0</v>
      </c>
      <c r="AW113" s="21">
        <f>EXP(-LN(2)/2)*AW112+(1-EXP(-LN(2)/2))/(LN(2)/2)*AQ113*AT113*VLOOKUP('Données projet'!$B$10,Paramètres!$A$1:$I$89,3,0)*0.475*44/12</f>
        <v>0</v>
      </c>
      <c r="AX113" s="21">
        <f t="shared" si="60"/>
        <v>52.501926221515426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25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60.605999999999945</v>
      </c>
      <c r="D114" s="11">
        <f t="shared" si="86"/>
        <v>17.32139509913188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601.54480427400006</v>
      </c>
      <c r="H114" s="67">
        <f t="shared" si="56"/>
        <v>429.05687979765457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4.5474735088646412E-13</v>
      </c>
      <c r="O114" s="13">
        <f>N114*VLOOKUP('Données projet'!$B$9,Paramètres!$A$1:$I$89,3,0)*VLOOKUP('Données projet'!$B$9,Paramètres!$A$1:$I$89,5,0)</f>
        <v>2.7193891583010558E-13</v>
      </c>
      <c r="P114" s="13">
        <f t="shared" si="87"/>
        <v>3.6362267729089988E-12</v>
      </c>
      <c r="Q114" s="20">
        <f t="shared" si="107"/>
        <v>6.8067219078872727E-12</v>
      </c>
      <c r="R114" s="59">
        <f t="shared" si="55"/>
        <v>293.33333333334014</v>
      </c>
      <c r="S114" s="59">
        <f ca="1">AVERAGE(OFFSET($R$3,0,0,'Données projet'!$E$9+1,1))-AVERAGE(OFFSET($H$3,0,0,'Données projet'!$E$9+1,1))</f>
        <v>252.28378247570731</v>
      </c>
      <c r="T114" s="59">
        <f t="shared" si="88"/>
        <v>263.50418595307343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5.9027641297250737</v>
      </c>
      <c r="AA114" s="21">
        <f>EXP(-LN(2)/25)*AA113+(1-EXP(-LN(2)/25))/(LN(2)/25)*Calculateur!V114*Calculateur!X114*VLOOKUP('Données projet'!$B$9,Paramètres!$A$1:$I$89,3,0)*0.475*44/12</f>
        <v>0</v>
      </c>
      <c r="AB114" s="21">
        <f>EXP(-LN(2)/2)*AB113+(1-EXP(-LN(2)/2))/(LN(2)/2)*V114*Y114*VLOOKUP('Données projet'!$B$9,Paramètres!$A$1:$I$89,3,0)*0.475*44/12</f>
        <v>2.595653472989538E-11</v>
      </c>
      <c r="AC114" s="22">
        <f t="shared" si="57"/>
        <v>5.9027641297510298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4.5</v>
      </c>
      <c r="AI114" s="13">
        <f>IF('Données projet'!$A$62&gt;35,AI113+AH114-AQ113,IF(A114&lt;'Données projet'!$A$62,$AF$205^A114,IF(A114='Données projet'!$A$62,'Données projet'!$B$62,AI113+AH114-AQ113)))</f>
        <v>333.49999999999966</v>
      </c>
      <c r="AJ114" s="13">
        <f>AI114*VLOOKUP('Données projet'!$B$10,Paramètres!$A$1:$I$89,3,0)*VLOOKUP('Données projet'!$B$10,Paramètres!$A$1:$I$89,5,0)</f>
        <v>280.94039999999973</v>
      </c>
      <c r="AK114" s="13">
        <f t="shared" si="89"/>
        <v>67.165703636653149</v>
      </c>
      <c r="AL114" s="20">
        <f t="shared" si="58"/>
        <v>606.28479716717038</v>
      </c>
      <c r="AM114" s="59">
        <f t="shared" si="59"/>
        <v>899.61813050050364</v>
      </c>
      <c r="AN114" s="59">
        <f ca="1">AVERAGE(OFFSET($AM$3,0,0,'Données projet'!$E$10+1,1))-AVERAGE(OFFSET($H$3,0,0,'Données projet'!$E$10+1,1))</f>
        <v>382.67703499770795</v>
      </c>
      <c r="AO114" s="59">
        <f t="shared" si="90"/>
        <v>237.98926636458219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51.472395471324496</v>
      </c>
      <c r="AV114" s="21">
        <f>EXP(-LN(2)/25)*AV113+(1-EXP(-LN(2)/25))/(LN(2)/25)*Calculateur!AQ114*Calculateur!AS114*VLOOKUP('Données projet'!$B$10,Paramètres!$A$1:$I$89,3,0)*0.475*44/12</f>
        <v>0</v>
      </c>
      <c r="AW114" s="21">
        <f>EXP(-LN(2)/2)*AW113+(1-EXP(-LN(2)/2))/(LN(2)/2)*AQ114*AT114*VLOOKUP('Données projet'!$B$10,Paramètres!$A$1:$I$89,3,0)*0.475*44/12</f>
        <v>0</v>
      </c>
      <c r="AX114" s="21">
        <f t="shared" si="60"/>
        <v>51.472395471324496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25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61.151999999999944</v>
      </c>
      <c r="D115" s="11">
        <f t="shared" si="86"/>
        <v>17.459207591071241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606.82335684335646</v>
      </c>
      <c r="H115" s="67">
        <f t="shared" si="56"/>
        <v>430.24785322111563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4.5474735088646412E-13</v>
      </c>
      <c r="O115" s="13">
        <f>N115*VLOOKUP('Données projet'!$B$9,Paramètres!$A$1:$I$89,3,0)*VLOOKUP('Données projet'!$B$9,Paramètres!$A$1:$I$89,5,0)</f>
        <v>2.7193891583010558E-13</v>
      </c>
      <c r="P115" s="13">
        <f t="shared" si="87"/>
        <v>3.6362267729089988E-12</v>
      </c>
      <c r="Q115" s="20">
        <f t="shared" si="107"/>
        <v>6.8067219078872727E-12</v>
      </c>
      <c r="R115" s="59">
        <f t="shared" si="55"/>
        <v>293.33333333334014</v>
      </c>
      <c r="S115" s="59">
        <f ca="1">AVERAGE(OFFSET($R$3,0,0,'Données projet'!$E$9+1,1))-AVERAGE(OFFSET($H$3,0,0,'Données projet'!$E$9+1,1))</f>
        <v>252.28378247570731</v>
      </c>
      <c r="T115" s="59">
        <f t="shared" si="88"/>
        <v>263.50418595307343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5.7870145254717809</v>
      </c>
      <c r="AA115" s="21">
        <f>EXP(-LN(2)/25)*AA114+(1-EXP(-LN(2)/25))/(LN(2)/25)*Calculateur!V115*Calculateur!X115*VLOOKUP('Données projet'!$B$9,Paramètres!$A$1:$I$89,3,0)*0.475*44/12</f>
        <v>0</v>
      </c>
      <c r="AB115" s="21">
        <f>EXP(-LN(2)/2)*AB114+(1-EXP(-LN(2)/2))/(LN(2)/2)*V115*Y115*VLOOKUP('Données projet'!$B$9,Paramètres!$A$1:$I$89,3,0)*0.475*44/12</f>
        <v>1.8354041723613154E-11</v>
      </c>
      <c r="AC115" s="22">
        <f t="shared" si="57"/>
        <v>5.7870145254901351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4.5</v>
      </c>
      <c r="AI115" s="13">
        <f>IF('Données projet'!$A$62&gt;35,AI114+AH115-AQ114,IF(A115&lt;'Données projet'!$A$62,$AF$205^A115,IF(A115='Données projet'!$A$62,'Données projet'!$B$62,AI114+AH115-AQ114)))</f>
        <v>337.99999999999966</v>
      </c>
      <c r="AJ115" s="13">
        <f>AI115*VLOOKUP('Données projet'!$B$10,Paramètres!$A$1:$I$89,3,0)*VLOOKUP('Données projet'!$B$10,Paramètres!$A$1:$I$89,5,0)</f>
        <v>284.73119999999977</v>
      </c>
      <c r="AK115" s="13">
        <f t="shared" si="89"/>
        <v>67.965870320050954</v>
      </c>
      <c r="AL115" s="20">
        <f t="shared" si="58"/>
        <v>614.28073080742161</v>
      </c>
      <c r="AM115" s="59">
        <f t="shared" si="59"/>
        <v>907.61406414075486</v>
      </c>
      <c r="AN115" s="59">
        <f ca="1">AVERAGE(OFFSET($AM$3,0,0,'Données projet'!$E$10+1,1))-AVERAGE(OFFSET($H$3,0,0,'Données projet'!$E$10+1,1))</f>
        <v>382.67703499770795</v>
      </c>
      <c r="AO115" s="59">
        <f t="shared" si="90"/>
        <v>237.98926636458219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50.463053191193055</v>
      </c>
      <c r="AV115" s="21">
        <f>EXP(-LN(2)/25)*AV114+(1-EXP(-LN(2)/25))/(LN(2)/25)*Calculateur!AQ115*Calculateur!AS115*VLOOKUP('Données projet'!$B$10,Paramètres!$A$1:$I$89,3,0)*0.475*44/12</f>
        <v>0</v>
      </c>
      <c r="AW115" s="21">
        <f>EXP(-LN(2)/2)*AW114+(1-EXP(-LN(2)/2))/(LN(2)/2)*AQ115*AT115*VLOOKUP('Données projet'!$B$10,Paramètres!$A$1:$I$89,3,0)*0.475*44/12</f>
        <v>0</v>
      </c>
      <c r="AX115" s="21">
        <f t="shared" si="60"/>
        <v>50.463053191193055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25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61.697999999999944</v>
      </c>
      <c r="D116" s="11">
        <f t="shared" si="86"/>
        <v>17.596876928845635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612.10080436301848</v>
      </c>
      <c r="H116" s="67">
        <f t="shared" si="56"/>
        <v>431.43857731773937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4.5474735088646412E-13</v>
      </c>
      <c r="O116" s="13">
        <f>N116*VLOOKUP('Données projet'!$B$9,Paramètres!$A$1:$I$89,3,0)*VLOOKUP('Données projet'!$B$9,Paramètres!$A$1:$I$89,5,0)</f>
        <v>2.7193891583010558E-13</v>
      </c>
      <c r="P116" s="13">
        <f t="shared" si="87"/>
        <v>3.6362267729089988E-12</v>
      </c>
      <c r="Q116" s="20">
        <f t="shared" si="107"/>
        <v>6.8067219078872727E-12</v>
      </c>
      <c r="R116" s="59">
        <f t="shared" si="55"/>
        <v>293.33333333334014</v>
      </c>
      <c r="S116" s="59">
        <f ca="1">AVERAGE(OFFSET($R$3,0,0,'Données projet'!$E$9+1,1))-AVERAGE(OFFSET($H$3,0,0,'Données projet'!$E$9+1,1))</f>
        <v>252.28378247570731</v>
      </c>
      <c r="T116" s="59">
        <f t="shared" si="88"/>
        <v>263.50418595307343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5.6735347003576075</v>
      </c>
      <c r="AA116" s="21">
        <f>EXP(-LN(2)/25)*AA115+(1-EXP(-LN(2)/25))/(LN(2)/25)*Calculateur!V116*Calculateur!X116*VLOOKUP('Données projet'!$B$9,Paramètres!$A$1:$I$89,3,0)*0.475*44/12</f>
        <v>0</v>
      </c>
      <c r="AB116" s="21">
        <f>EXP(-LN(2)/2)*AB115+(1-EXP(-LN(2)/2))/(LN(2)/2)*V116*Y116*VLOOKUP('Données projet'!$B$9,Paramètres!$A$1:$I$89,3,0)*0.475*44/12</f>
        <v>1.297826736494769E-11</v>
      </c>
      <c r="AC116" s="22">
        <f t="shared" si="57"/>
        <v>5.6735347003705856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4.5</v>
      </c>
      <c r="AI116" s="13">
        <f>IF('Données projet'!$A$62&gt;35,AI115+AH116-AQ115,IF(A116&lt;'Données projet'!$A$62,$AF$205^A116,IF(A116='Données projet'!$A$62,'Données projet'!$B$62,AI115+AH116-AQ115)))</f>
        <v>342.49999999999966</v>
      </c>
      <c r="AJ116" s="13">
        <f>AI116*VLOOKUP('Données projet'!$B$10,Paramètres!$A$1:$I$89,3,0)*VLOOKUP('Données projet'!$B$10,Paramètres!$A$1:$I$89,5,0)</f>
        <v>288.52199999999971</v>
      </c>
      <c r="AK116" s="13">
        <f t="shared" si="89"/>
        <v>68.764797903454593</v>
      </c>
      <c r="AL116" s="20">
        <f t="shared" si="58"/>
        <v>622.27450634851618</v>
      </c>
      <c r="AM116" s="59">
        <f t="shared" si="59"/>
        <v>915.60783968184955</v>
      </c>
      <c r="AN116" s="59">
        <f ca="1">AVERAGE(OFFSET($AM$3,0,0,'Données projet'!$E$10+1,1))-AVERAGE(OFFSET($H$3,0,0,'Données projet'!$E$10+1,1))</f>
        <v>382.67703499770795</v>
      </c>
      <c r="AO116" s="59">
        <f t="shared" si="90"/>
        <v>237.98926636458219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49.473503497536989</v>
      </c>
      <c r="AV116" s="21">
        <f>EXP(-LN(2)/25)*AV115+(1-EXP(-LN(2)/25))/(LN(2)/25)*Calculateur!AQ116*Calculateur!AS116*VLOOKUP('Données projet'!$B$10,Paramètres!$A$1:$I$89,3,0)*0.475*44/12</f>
        <v>0</v>
      </c>
      <c r="AW116" s="21">
        <f>EXP(-LN(2)/2)*AW115+(1-EXP(-LN(2)/2))/(LN(2)/2)*AQ116*AT116*VLOOKUP('Données projet'!$B$10,Paramètres!$A$1:$I$89,3,0)*0.475*44/12</f>
        <v>0</v>
      </c>
      <c r="AX116" s="21">
        <f t="shared" si="60"/>
        <v>49.473503497536989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25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62.243999999999943</v>
      </c>
      <c r="D117" s="11">
        <f t="shared" si="86"/>
        <v>17.734404526076418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617.37715774515095</v>
      </c>
      <c r="H117" s="67">
        <f t="shared" si="56"/>
        <v>432.62905454958297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4.5474735088646412E-13</v>
      </c>
      <c r="O117" s="13">
        <f>N117*VLOOKUP('Données projet'!$B$9,Paramètres!$A$1:$I$89,3,0)*VLOOKUP('Données projet'!$B$9,Paramètres!$A$1:$I$89,5,0)</f>
        <v>2.7193891583010558E-13</v>
      </c>
      <c r="P117" s="13">
        <f t="shared" si="87"/>
        <v>3.6362267729089988E-12</v>
      </c>
      <c r="Q117" s="20">
        <f t="shared" si="107"/>
        <v>6.8067219078872727E-12</v>
      </c>
      <c r="R117" s="59">
        <f t="shared" si="55"/>
        <v>293.33333333334014</v>
      </c>
      <c r="S117" s="59">
        <f ca="1">AVERAGE(OFFSET($R$3,0,0,'Données projet'!$E$9+1,1))-AVERAGE(OFFSET($H$3,0,0,'Données projet'!$E$9+1,1))</f>
        <v>252.28378247570731</v>
      </c>
      <c r="T117" s="59">
        <f t="shared" si="88"/>
        <v>263.50418595307343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5.5622801453980646</v>
      </c>
      <c r="AA117" s="21">
        <f>EXP(-LN(2)/25)*AA116+(1-EXP(-LN(2)/25))/(LN(2)/25)*Calculateur!V117*Calculateur!X117*VLOOKUP('Données projet'!$B$9,Paramètres!$A$1:$I$89,3,0)*0.475*44/12</f>
        <v>0</v>
      </c>
      <c r="AB117" s="21">
        <f>EXP(-LN(2)/2)*AB116+(1-EXP(-LN(2)/2))/(LN(2)/2)*V117*Y117*VLOOKUP('Données projet'!$B$9,Paramètres!$A$1:$I$89,3,0)*0.475*44/12</f>
        <v>9.1770208618065768E-12</v>
      </c>
      <c r="AC117" s="22">
        <f t="shared" si="57"/>
        <v>5.5622801454072412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4.5</v>
      </c>
      <c r="AI117" s="13">
        <f>IF('Données projet'!$A$62&gt;35,AI116+AH117-AQ116,IF(A117&lt;'Données projet'!$A$62,$AF$205^A117,IF(A117='Données projet'!$A$62,'Données projet'!$B$62,AI116+AH117-AQ116)))</f>
        <v>346.99999999999966</v>
      </c>
      <c r="AJ117" s="13">
        <f>AI117*VLOOKUP('Données projet'!$B$10,Paramètres!$A$1:$I$89,3,0)*VLOOKUP('Données projet'!$B$10,Paramètres!$A$1:$I$89,5,0)</f>
        <v>292.31279999999975</v>
      </c>
      <c r="AK117" s="13">
        <f t="shared" si="89"/>
        <v>69.562504549179607</v>
      </c>
      <c r="AL117" s="20">
        <f t="shared" si="58"/>
        <v>630.26615542315403</v>
      </c>
      <c r="AM117" s="59">
        <f t="shared" si="59"/>
        <v>923.59948875648729</v>
      </c>
      <c r="AN117" s="59">
        <f ca="1">AVERAGE(OFFSET($AM$3,0,0,'Données projet'!$E$10+1,1))-AVERAGE(OFFSET($H$3,0,0,'Données projet'!$E$10+1,1))</f>
        <v>382.67703499770795</v>
      </c>
      <c r="AO117" s="59">
        <f t="shared" si="90"/>
        <v>237.98926636458219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48.503358269807805</v>
      </c>
      <c r="AV117" s="21">
        <f>EXP(-LN(2)/25)*AV116+(1-EXP(-LN(2)/25))/(LN(2)/25)*Calculateur!AQ117*Calculateur!AS117*VLOOKUP('Données projet'!$B$10,Paramètres!$A$1:$I$89,3,0)*0.475*44/12</f>
        <v>0</v>
      </c>
      <c r="AW117" s="21">
        <f>EXP(-LN(2)/2)*AW116+(1-EXP(-LN(2)/2))/(LN(2)/2)*AQ117*AT117*VLOOKUP('Données projet'!$B$10,Paramètres!$A$1:$I$89,3,0)*0.475*44/12</f>
        <v>0</v>
      </c>
      <c r="AX117" s="21">
        <f t="shared" si="60"/>
        <v>48.503358269807805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25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62.789999999999942</v>
      </c>
      <c r="D118" s="11">
        <f t="shared" si="86"/>
        <v>17.871791770153557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622.65242769943063</v>
      </c>
      <c r="H118" s="67">
        <f t="shared" si="56"/>
        <v>433.81928733301731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4.5474735088646412E-13</v>
      </c>
      <c r="O118" s="13">
        <f>N118*VLOOKUP('Données projet'!$B$9,Paramètres!$A$1:$I$89,3,0)*VLOOKUP('Données projet'!$B$9,Paramètres!$A$1:$I$89,5,0)</f>
        <v>2.7193891583010558E-13</v>
      </c>
      <c r="P118" s="13">
        <f t="shared" si="87"/>
        <v>3.6362267729089988E-12</v>
      </c>
      <c r="Q118" s="20">
        <f t="shared" si="107"/>
        <v>6.8067219078872727E-12</v>
      </c>
      <c r="R118" s="59">
        <f t="shared" si="55"/>
        <v>293.33333333334014</v>
      </c>
      <c r="S118" s="59">
        <f ca="1">AVERAGE(OFFSET($R$3,0,0,'Données projet'!$E$9+1,1))-AVERAGE(OFFSET($H$3,0,0,'Données projet'!$E$9+1,1))</f>
        <v>252.28378247570731</v>
      </c>
      <c r="T118" s="59">
        <f t="shared" si="88"/>
        <v>263.50418595307343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5.4532072244026999</v>
      </c>
      <c r="AA118" s="21">
        <f>EXP(-LN(2)/25)*AA117+(1-EXP(-LN(2)/25))/(LN(2)/25)*Calculateur!V118*Calculateur!X118*VLOOKUP('Données projet'!$B$9,Paramètres!$A$1:$I$89,3,0)*0.475*44/12</f>
        <v>0</v>
      </c>
      <c r="AB118" s="21">
        <f>EXP(-LN(2)/2)*AB117+(1-EXP(-LN(2)/2))/(LN(2)/2)*V118*Y118*VLOOKUP('Données projet'!$B$9,Paramètres!$A$1:$I$89,3,0)*0.475*44/12</f>
        <v>6.489133682473845E-12</v>
      </c>
      <c r="AC118" s="22">
        <f t="shared" si="57"/>
        <v>5.4532072244091889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4.5</v>
      </c>
      <c r="AI118" s="13">
        <f>IF('Données projet'!$A$62&gt;35,AI117+AH118-AQ117,IF(A118&lt;'Données projet'!$A$62,$AF$205^A118,IF(A118='Données projet'!$A$62,'Données projet'!$B$62,AI117+AH118-AQ117)))</f>
        <v>351.49999999999966</v>
      </c>
      <c r="AJ118" s="13">
        <f>AI118*VLOOKUP('Données projet'!$B$10,Paramètres!$A$1:$I$89,3,0)*VLOOKUP('Données projet'!$B$10,Paramètres!$A$1:$I$89,5,0)</f>
        <v>296.10359999999974</v>
      </c>
      <c r="AK118" s="13">
        <f t="shared" si="89"/>
        <v>70.359007921390557</v>
      </c>
      <c r="AL118" s="20">
        <f t="shared" si="58"/>
        <v>638.25570879642146</v>
      </c>
      <c r="AM118" s="59">
        <f t="shared" si="59"/>
        <v>931.58904212975472</v>
      </c>
      <c r="AN118" s="59">
        <f ca="1">AVERAGE(OFFSET($AM$3,0,0,'Données projet'!$E$10+1,1))-AVERAGE(OFFSET($H$3,0,0,'Données projet'!$E$10+1,1))</f>
        <v>382.67703499770795</v>
      </c>
      <c r="AO118" s="59">
        <f t="shared" si="90"/>
        <v>237.98926636458219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47.552236998264227</v>
      </c>
      <c r="AV118" s="21">
        <f>EXP(-LN(2)/25)*AV117+(1-EXP(-LN(2)/25))/(LN(2)/25)*Calculateur!AQ118*Calculateur!AS118*VLOOKUP('Données projet'!$B$10,Paramètres!$A$1:$I$89,3,0)*0.475*44/12</f>
        <v>0</v>
      </c>
      <c r="AW118" s="21">
        <f>EXP(-LN(2)/2)*AW117+(1-EXP(-LN(2)/2))/(LN(2)/2)*AQ118*AT118*VLOOKUP('Données projet'!$B$10,Paramètres!$A$1:$I$89,3,0)*0.475*44/12</f>
        <v>0</v>
      </c>
      <c r="AX118" s="21">
        <f t="shared" si="60"/>
        <v>47.552236998264227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25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63.335999999999942</v>
      </c>
      <c r="D119" s="11">
        <f t="shared" si="86"/>
        <v>18.009040022946209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627.9266247385317</v>
      </c>
      <c r="H119" s="67">
        <f t="shared" si="56"/>
        <v>435.00927803996456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4.5474735088646412E-13</v>
      </c>
      <c r="O119" s="13">
        <f>N119*VLOOKUP('Données projet'!$B$9,Paramètres!$A$1:$I$89,3,0)*VLOOKUP('Données projet'!$B$9,Paramètres!$A$1:$I$89,5,0)</f>
        <v>2.7193891583010558E-13</v>
      </c>
      <c r="P119" s="13">
        <f t="shared" si="87"/>
        <v>3.6362267729089988E-12</v>
      </c>
      <c r="Q119" s="20">
        <f t="shared" si="107"/>
        <v>6.8067219078872727E-12</v>
      </c>
      <c r="R119" s="59">
        <f t="shared" si="55"/>
        <v>293.33333333334014</v>
      </c>
      <c r="S119" s="59">
        <f ca="1">AVERAGE(OFFSET($R$3,0,0,'Données projet'!$E$9+1,1))-AVERAGE(OFFSET($H$3,0,0,'Données projet'!$E$9+1,1))</f>
        <v>252.28378247570731</v>
      </c>
      <c r="T119" s="59">
        <f t="shared" si="88"/>
        <v>263.50418595307343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5.3462731568601418</v>
      </c>
      <c r="AA119" s="21">
        <f>EXP(-LN(2)/25)*AA118+(1-EXP(-LN(2)/25))/(LN(2)/25)*Calculateur!V119*Calculateur!X119*VLOOKUP('Données projet'!$B$9,Paramètres!$A$1:$I$89,3,0)*0.475*44/12</f>
        <v>0</v>
      </c>
      <c r="AB119" s="21">
        <f>EXP(-LN(2)/2)*AB118+(1-EXP(-LN(2)/2))/(LN(2)/2)*V119*Y119*VLOOKUP('Données projet'!$B$9,Paramètres!$A$1:$I$89,3,0)*0.475*44/12</f>
        <v>4.5885104309032884E-12</v>
      </c>
      <c r="AC119" s="22">
        <f t="shared" si="57"/>
        <v>5.3462731568647301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4.5</v>
      </c>
      <c r="AI119" s="13">
        <f>IF('Données projet'!$A$62&gt;35,AI118+AH119-AQ118,IF(A119&lt;'Données projet'!$A$62,$AF$205^A119,IF(A119='Données projet'!$A$62,'Données projet'!$B$62,AI118+AH119-AQ118)))</f>
        <v>355.99999999999966</v>
      </c>
      <c r="AJ119" s="13">
        <f>AI119*VLOOKUP('Données projet'!$B$10,Paramètres!$A$1:$I$89,3,0)*VLOOKUP('Données projet'!$B$10,Paramètres!$A$1:$I$89,5,0)</f>
        <v>299.89439999999973</v>
      </c>
      <c r="AK119" s="13">
        <f t="shared" si="89"/>
        <v>71.154325205963943</v>
      </c>
      <c r="AL119" s="20">
        <f t="shared" si="58"/>
        <v>646.24319640038686</v>
      </c>
      <c r="AM119" s="59">
        <f t="shared" si="59"/>
        <v>939.57652973372024</v>
      </c>
      <c r="AN119" s="59">
        <f ca="1">AVERAGE(OFFSET($AM$3,0,0,'Données projet'!$E$10+1,1))-AVERAGE(OFFSET($H$3,0,0,'Données projet'!$E$10+1,1))</f>
        <v>382.67703499770795</v>
      </c>
      <c r="AO119" s="59">
        <f t="shared" si="90"/>
        <v>237.98926636458219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46.619766634728926</v>
      </c>
      <c r="AV119" s="21">
        <f>EXP(-LN(2)/25)*AV118+(1-EXP(-LN(2)/25))/(LN(2)/25)*Calculateur!AQ119*Calculateur!AS119*VLOOKUP('Données projet'!$B$10,Paramètres!$A$1:$I$89,3,0)*0.475*44/12</f>
        <v>0</v>
      </c>
      <c r="AW119" s="21">
        <f>EXP(-LN(2)/2)*AW118+(1-EXP(-LN(2)/2))/(LN(2)/2)*AQ119*AT119*VLOOKUP('Données projet'!$B$10,Paramètres!$A$1:$I$89,3,0)*0.475*44/12</f>
        <v>0</v>
      </c>
      <c r="AX119" s="21">
        <f t="shared" si="60"/>
        <v>46.619766634728926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25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63.881999999999941</v>
      </c>
      <c r="D120" s="11">
        <f t="shared" si="86"/>
        <v>18.146150621487966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633.19975918341549</v>
      </c>
      <c r="H120" s="67">
        <f t="shared" si="56"/>
        <v>436.19902899909141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4.5474735088646412E-13</v>
      </c>
      <c r="O120" s="13">
        <f>N120*VLOOKUP('Données projet'!$B$9,Paramètres!$A$1:$I$89,3,0)*VLOOKUP('Données projet'!$B$9,Paramètres!$A$1:$I$89,5,0)</f>
        <v>2.7193891583010558E-13</v>
      </c>
      <c r="P120" s="13">
        <f t="shared" si="87"/>
        <v>3.6362267729089988E-12</v>
      </c>
      <c r="Q120" s="20">
        <f t="shared" si="107"/>
        <v>6.8067219078872727E-12</v>
      </c>
      <c r="R120" s="59">
        <f t="shared" si="55"/>
        <v>293.33333333334014</v>
      </c>
      <c r="S120" s="59">
        <f ca="1">AVERAGE(OFFSET($R$3,0,0,'Données projet'!$E$9+1,1))-AVERAGE(OFFSET($H$3,0,0,'Données projet'!$E$9+1,1))</f>
        <v>252.28378247570731</v>
      </c>
      <c r="T120" s="59">
        <f t="shared" si="88"/>
        <v>263.50418595307343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5.2414360011587524</v>
      </c>
      <c r="AA120" s="21">
        <f>EXP(-LN(2)/25)*AA119+(1-EXP(-LN(2)/25))/(LN(2)/25)*Calculateur!V120*Calculateur!X120*VLOOKUP('Données projet'!$B$9,Paramètres!$A$1:$I$89,3,0)*0.475*44/12</f>
        <v>0</v>
      </c>
      <c r="AB120" s="21">
        <f>EXP(-LN(2)/2)*AB119+(1-EXP(-LN(2)/2))/(LN(2)/2)*V120*Y120*VLOOKUP('Données projet'!$B$9,Paramètres!$A$1:$I$89,3,0)*0.475*44/12</f>
        <v>3.2445668412369225E-12</v>
      </c>
      <c r="AC120" s="22">
        <f t="shared" si="57"/>
        <v>5.2414360011619969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4.5</v>
      </c>
      <c r="AI120" s="13">
        <f>IF('Données projet'!$A$62&gt;35,AI119+AH120-AQ119,IF(A120&lt;'Données projet'!$A$62,$AF$205^A120,IF(A120='Données projet'!$A$62,'Données projet'!$B$62,AI119+AH120-AQ119)))</f>
        <v>360.49999999999966</v>
      </c>
      <c r="AJ120" s="13">
        <f>AI120*VLOOKUP('Données projet'!$B$10,Paramètres!$A$1:$I$89,3,0)*VLOOKUP('Données projet'!$B$10,Paramètres!$A$1:$I$89,5,0)</f>
        <v>303.68519999999972</v>
      </c>
      <c r="AK120" s="13">
        <f t="shared" si="89"/>
        <v>71.948473129316923</v>
      </c>
      <c r="AL120" s="20">
        <f t="shared" si="58"/>
        <v>654.22864736689314</v>
      </c>
      <c r="AM120" s="59">
        <f t="shared" si="59"/>
        <v>947.56198070022651</v>
      </c>
      <c r="AN120" s="59">
        <f ca="1">AVERAGE(OFFSET($AM$3,0,0,'Données projet'!$E$10+1,1))-AVERAGE(OFFSET($H$3,0,0,'Données projet'!$E$10+1,1))</f>
        <v>382.67703499770795</v>
      </c>
      <c r="AO120" s="59">
        <f t="shared" si="90"/>
        <v>237.98926636458219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45.705581446271793</v>
      </c>
      <c r="AV120" s="21">
        <f>EXP(-LN(2)/25)*AV119+(1-EXP(-LN(2)/25))/(LN(2)/25)*Calculateur!AQ120*Calculateur!AS120*VLOOKUP('Données projet'!$B$10,Paramètres!$A$1:$I$89,3,0)*0.475*44/12</f>
        <v>0</v>
      </c>
      <c r="AW120" s="21">
        <f>EXP(-LN(2)/2)*AW119+(1-EXP(-LN(2)/2))/(LN(2)/2)*AQ120*AT120*VLOOKUP('Données projet'!$B$10,Paramètres!$A$1:$I$89,3,0)*0.475*44/12</f>
        <v>0</v>
      </c>
      <c r="AX120" s="21">
        <f t="shared" si="60"/>
        <v>45.705581446271793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25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64.42799999999994</v>
      </c>
      <c r="D121" s="11">
        <f t="shared" si="86"/>
        <v>18.283124878638194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638.47184116843471</v>
      </c>
      <c r="H121" s="67">
        <f t="shared" si="56"/>
        <v>437.38854249696135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4.5474735088646412E-13</v>
      </c>
      <c r="O121" s="13">
        <f>N121*VLOOKUP('Données projet'!$B$9,Paramètres!$A$1:$I$89,3,0)*VLOOKUP('Données projet'!$B$9,Paramètres!$A$1:$I$89,5,0)</f>
        <v>2.7193891583010558E-13</v>
      </c>
      <c r="P121" s="13">
        <f t="shared" si="87"/>
        <v>3.6362267729089988E-12</v>
      </c>
      <c r="Q121" s="20">
        <f t="shared" si="107"/>
        <v>6.8067219078872727E-12</v>
      </c>
      <c r="R121" s="59">
        <f t="shared" si="55"/>
        <v>293.33333333334014</v>
      </c>
      <c r="S121" s="59">
        <f ca="1">AVERAGE(OFFSET($R$3,0,0,'Données projet'!$E$9+1,1))-AVERAGE(OFFSET($H$3,0,0,'Données projet'!$E$9+1,1))</f>
        <v>252.28378247570731</v>
      </c>
      <c r="T121" s="59">
        <f t="shared" si="88"/>
        <v>263.50418595307343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5.1386546381363161</v>
      </c>
      <c r="AA121" s="21">
        <f>EXP(-LN(2)/25)*AA120+(1-EXP(-LN(2)/25))/(LN(2)/25)*Calculateur!V121*Calculateur!X121*VLOOKUP('Données projet'!$B$9,Paramètres!$A$1:$I$89,3,0)*0.475*44/12</f>
        <v>0</v>
      </c>
      <c r="AB121" s="21">
        <f>EXP(-LN(2)/2)*AB120+(1-EXP(-LN(2)/2))/(LN(2)/2)*V121*Y121*VLOOKUP('Données projet'!$B$9,Paramètres!$A$1:$I$89,3,0)*0.475*44/12</f>
        <v>2.2942552154516442E-12</v>
      </c>
      <c r="AC121" s="22">
        <f t="shared" si="57"/>
        <v>5.1386546381386102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4.5</v>
      </c>
      <c r="AI121" s="13">
        <f>IF('Données projet'!$A$62&gt;35,AI120+AH121-AQ120,IF(A121&lt;'Données projet'!$A$62,$AF$205^A121,IF(A121='Données projet'!$A$62,'Données projet'!$B$62,AI120+AH121-AQ120)))</f>
        <v>364.99999999999966</v>
      </c>
      <c r="AJ121" s="13">
        <f>AI121*VLOOKUP('Données projet'!$B$10,Paramètres!$A$1:$I$89,3,0)*VLOOKUP('Données projet'!$B$10,Paramètres!$A$1:$I$89,5,0)</f>
        <v>307.47599999999971</v>
      </c>
      <c r="AK121" s="13">
        <f t="shared" si="89"/>
        <v>72.741467976269917</v>
      </c>
      <c r="AL121" s="20">
        <f t="shared" si="58"/>
        <v>662.21209005866956</v>
      </c>
      <c r="AM121" s="59">
        <f t="shared" si="59"/>
        <v>955.54542339200293</v>
      </c>
      <c r="AN121" s="59">
        <f ca="1">AVERAGE(OFFSET($AM$3,0,0,'Données projet'!$E$10+1,1))-AVERAGE(OFFSET($H$3,0,0,'Données projet'!$E$10+1,1))</f>
        <v>382.67703499770795</v>
      </c>
      <c r="AO121" s="59">
        <f t="shared" si="90"/>
        <v>237.98926636458219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44.809322871762397</v>
      </c>
      <c r="AV121" s="21">
        <f>EXP(-LN(2)/25)*AV120+(1-EXP(-LN(2)/25))/(LN(2)/25)*Calculateur!AQ121*Calculateur!AS121*VLOOKUP('Données projet'!$B$10,Paramètres!$A$1:$I$89,3,0)*0.475*44/12</f>
        <v>0</v>
      </c>
      <c r="AW121" s="21">
        <f>EXP(-LN(2)/2)*AW120+(1-EXP(-LN(2)/2))/(LN(2)/2)*AQ121*AT121*VLOOKUP('Données projet'!$B$10,Paramètres!$A$1:$I$89,3,0)*0.475*44/12</f>
        <v>0</v>
      </c>
      <c r="AX121" s="21">
        <f t="shared" si="60"/>
        <v>44.809322871762397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25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64.973999999999947</v>
      </c>
      <c r="D122" s="11">
        <f t="shared" si="86"/>
        <v>18.41996408372005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643.74288064625955</v>
      </c>
      <c r="H122" s="67">
        <f t="shared" si="56"/>
        <v>438.57782077914567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4.5474735088646412E-13</v>
      </c>
      <c r="O122" s="13">
        <f>N122*VLOOKUP('Données projet'!$B$9,Paramètres!$A$1:$I$89,3,0)*VLOOKUP('Données projet'!$B$9,Paramètres!$A$1:$I$89,5,0)</f>
        <v>2.7193891583010558E-13</v>
      </c>
      <c r="P122" s="13">
        <f t="shared" si="87"/>
        <v>3.6362267729089988E-12</v>
      </c>
      <c r="Q122" s="20">
        <f t="shared" si="107"/>
        <v>6.8067219078872727E-12</v>
      </c>
      <c r="R122" s="59">
        <f t="shared" si="55"/>
        <v>293.33333333334014</v>
      </c>
      <c r="S122" s="59">
        <f ca="1">AVERAGE(OFFSET($R$3,0,0,'Données projet'!$E$9+1,1))-AVERAGE(OFFSET($H$3,0,0,'Données projet'!$E$9+1,1))</f>
        <v>252.28378247570731</v>
      </c>
      <c r="T122" s="59">
        <f t="shared" si="88"/>
        <v>263.50418595307343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5.0378887549523084</v>
      </c>
      <c r="AA122" s="21">
        <f>EXP(-LN(2)/25)*AA121+(1-EXP(-LN(2)/25))/(LN(2)/25)*Calculateur!V122*Calculateur!X122*VLOOKUP('Données projet'!$B$9,Paramètres!$A$1:$I$89,3,0)*0.475*44/12</f>
        <v>0</v>
      </c>
      <c r="AB122" s="21">
        <f>EXP(-LN(2)/2)*AB121+(1-EXP(-LN(2)/2))/(LN(2)/2)*V122*Y122*VLOOKUP('Données projet'!$B$9,Paramètres!$A$1:$I$89,3,0)*0.475*44/12</f>
        <v>1.6222834206184612E-12</v>
      </c>
      <c r="AC122" s="22">
        <f t="shared" si="57"/>
        <v>5.0378887549539311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4.5</v>
      </c>
      <c r="AI122" s="13">
        <f>IF('Données projet'!$A$62&gt;35,AI121+AH122-AQ121,IF(A122&lt;'Données projet'!$A$62,$AF$205^A122,IF(A122='Données projet'!$A$62,'Données projet'!$B$62,AI121+AH122-AQ121)))</f>
        <v>369.49999999999966</v>
      </c>
      <c r="AJ122" s="13">
        <f>AI122*VLOOKUP('Données projet'!$B$10,Paramètres!$A$1:$I$89,3,0)*VLOOKUP('Données projet'!$B$10,Paramètres!$A$1:$I$89,5,0)</f>
        <v>311.26679999999976</v>
      </c>
      <c r="AK122" s="13">
        <f t="shared" si="89"/>
        <v>73.533325607002496</v>
      </c>
      <c r="AL122" s="20">
        <f t="shared" si="58"/>
        <v>670.19355209886214</v>
      </c>
      <c r="AM122" s="59">
        <f t="shared" si="59"/>
        <v>963.52688543219551</v>
      </c>
      <c r="AN122" s="59">
        <f ca="1">AVERAGE(OFFSET($AM$3,0,0,'Données projet'!$E$10+1,1))-AVERAGE(OFFSET($H$3,0,0,'Données projet'!$E$10+1,1))</f>
        <v>382.67703499770795</v>
      </c>
      <c r="AO122" s="59">
        <f t="shared" si="90"/>
        <v>237.98926636458219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43.93063938123538</v>
      </c>
      <c r="AV122" s="21">
        <f>EXP(-LN(2)/25)*AV121+(1-EXP(-LN(2)/25))/(LN(2)/25)*Calculateur!AQ122*Calculateur!AS122*VLOOKUP('Données projet'!$B$10,Paramètres!$A$1:$I$89,3,0)*0.475*44/12</f>
        <v>0</v>
      </c>
      <c r="AW122" s="21">
        <f>EXP(-LN(2)/2)*AW121+(1-EXP(-LN(2)/2))/(LN(2)/2)*AQ122*AT122*VLOOKUP('Données projet'!$B$10,Paramètres!$A$1:$I$89,3,0)*0.475*44/12</f>
        <v>0</v>
      </c>
      <c r="AX122" s="21">
        <f t="shared" si="60"/>
        <v>43.93063938123538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25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65.519999999999953</v>
      </c>
      <c r="D123" s="11">
        <f t="shared" si="86"/>
        <v>18.556669503136707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649.01288739263384</v>
      </c>
      <c r="H123" s="67">
        <f t="shared" si="56"/>
        <v>439.76686605129635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4.5474735088646412E-13</v>
      </c>
      <c r="O123" s="13">
        <f>N123*VLOOKUP('Données projet'!$B$9,Paramètres!$A$1:$I$89,3,0)*VLOOKUP('Données projet'!$B$9,Paramètres!$A$1:$I$89,5,0)</f>
        <v>2.7193891583010558E-13</v>
      </c>
      <c r="P123" s="13">
        <f t="shared" si="87"/>
        <v>3.6362267729089988E-12</v>
      </c>
      <c r="Q123" s="20">
        <f t="shared" si="107"/>
        <v>6.8067219078872727E-12</v>
      </c>
      <c r="R123" s="59">
        <f t="shared" si="55"/>
        <v>293.33333333334014</v>
      </c>
      <c r="S123" s="59">
        <f ca="1">AVERAGE(OFFSET($R$3,0,0,'Données projet'!$E$9+1,1))-AVERAGE(OFFSET($H$3,0,0,'Données projet'!$E$9+1,1))</f>
        <v>252.28378247570731</v>
      </c>
      <c r="T123" s="59">
        <f t="shared" si="88"/>
        <v>263.50418595307343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4.9390988292764195</v>
      </c>
      <c r="AA123" s="21">
        <f>EXP(-LN(2)/25)*AA122+(1-EXP(-LN(2)/25))/(LN(2)/25)*Calculateur!V123*Calculateur!X123*VLOOKUP('Données projet'!$B$9,Paramètres!$A$1:$I$89,3,0)*0.475*44/12</f>
        <v>0</v>
      </c>
      <c r="AB123" s="21">
        <f>EXP(-LN(2)/2)*AB122+(1-EXP(-LN(2)/2))/(LN(2)/2)*V123*Y123*VLOOKUP('Données projet'!$B$9,Paramètres!$A$1:$I$89,3,0)*0.475*44/12</f>
        <v>1.1471276077258221E-12</v>
      </c>
      <c r="AC123" s="22">
        <f t="shared" si="57"/>
        <v>4.939098829277567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>
        <f>VLOOKUP(A123,'Données projet'!$A$61:$I$81,2,0)</f>
        <v>374</v>
      </c>
      <c r="AG123" s="12">
        <f>VLOOKUP(A123,'Données projet'!$A$61:$I$81,9,0)</f>
        <v>4.5</v>
      </c>
      <c r="AH123" s="12">
        <f t="array" ref="AH123">INDEX(AG:AG,MIN(IF(ISNUMBER(AG123:AG319),ROW(AG123:AG319),"")))</f>
        <v>4.5</v>
      </c>
      <c r="AI123" s="13">
        <f>IF('Données projet'!$A$62&gt;35,AI122+AH123-AQ122,IF(A123&lt;'Données projet'!$A$62,$AF$205^A123,IF(A123='Données projet'!$A$62,'Données projet'!$B$62,AI122+AH123-AQ122)))</f>
        <v>373.99999999999966</v>
      </c>
      <c r="AJ123" s="13">
        <f>AI123*VLOOKUP('Données projet'!$B$10,Paramètres!$A$1:$I$89,3,0)*VLOOKUP('Données projet'!$B$10,Paramètres!$A$1:$I$89,5,0)</f>
        <v>315.05759999999975</v>
      </c>
      <c r="AK123" s="13">
        <f t="shared" si="89"/>
        <v>74.324061473160583</v>
      </c>
      <c r="AL123" s="20">
        <f t="shared" si="58"/>
        <v>678.17306039908749</v>
      </c>
      <c r="AM123" s="59">
        <f t="shared" si="59"/>
        <v>971.50639373242075</v>
      </c>
      <c r="AN123" s="59">
        <f ca="1">AVERAGE(OFFSET($AM$3,0,0,'Données projet'!$E$10+1,1))-AVERAGE(OFFSET($H$3,0,0,'Données projet'!$E$10+1,1))</f>
        <v>382.67703499770795</v>
      </c>
      <c r="AO123" s="59">
        <f t="shared" si="90"/>
        <v>237.98926636458219</v>
      </c>
      <c r="AP123" s="15">
        <f>IF(ISNA(VLOOKUP(A123,'Données projet'!$A$61:$I$81,3,0)),0,VLOOKUP(A123,'Données projet'!$A$61:$I$81,3,0))</f>
        <v>11</v>
      </c>
      <c r="AQ123" s="15">
        <f>IF(ISNA(VLOOKUP(A123,'Données projet'!$A$61:$I$81,4,0)),0,VLOOKUP(A123,'Données projet'!$A$61:$I$81,4,0))</f>
        <v>47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43.069186338013587</v>
      </c>
      <c r="AV123" s="21">
        <f>EXP(-LN(2)/25)*AV122+(1-EXP(-LN(2)/25))/(LN(2)/25)*Calculateur!AQ123*Calculateur!AS123*VLOOKUP('Données projet'!$B$10,Paramètres!$A$1:$I$89,3,0)*0.475*44/12</f>
        <v>0</v>
      </c>
      <c r="AW123" s="21">
        <f>EXP(-LN(2)/2)*AW122+(1-EXP(-LN(2)/2))/(LN(2)/2)*AQ123*AT123*VLOOKUP('Données projet'!$B$10,Paramètres!$A$1:$I$89,3,0)*0.475*44/12</f>
        <v>0</v>
      </c>
      <c r="AX123" s="21">
        <f t="shared" si="60"/>
        <v>43.069186338013587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25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66.06599999999996</v>
      </c>
      <c r="D124" s="11">
        <f t="shared" si="86"/>
        <v>18.69324238096624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654.28187101096717</v>
      </c>
      <c r="H124" s="67">
        <f t="shared" si="56"/>
        <v>440.95568048018276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4.5474735088646412E-13</v>
      </c>
      <c r="O124" s="13">
        <f>N124*VLOOKUP('Données projet'!$B$9,Paramètres!$A$1:$I$89,3,0)*VLOOKUP('Données projet'!$B$9,Paramètres!$A$1:$I$89,5,0)</f>
        <v>2.7193891583010558E-13</v>
      </c>
      <c r="P124" s="13">
        <f t="shared" si="87"/>
        <v>3.6362267729089988E-12</v>
      </c>
      <c r="Q124" s="20">
        <f t="shared" si="107"/>
        <v>6.8067219078872727E-12</v>
      </c>
      <c r="R124" s="59">
        <f t="shared" si="55"/>
        <v>293.33333333334014</v>
      </c>
      <c r="S124" s="59">
        <f ca="1">AVERAGE(OFFSET($R$3,0,0,'Données projet'!$E$9+1,1))-AVERAGE(OFFSET($H$3,0,0,'Données projet'!$E$9+1,1))</f>
        <v>252.28378247570731</v>
      </c>
      <c r="T124" s="59">
        <f t="shared" si="88"/>
        <v>263.50418595307343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4.8422461137871302</v>
      </c>
      <c r="AA124" s="21">
        <f>EXP(-LN(2)/25)*AA123+(1-EXP(-LN(2)/25))/(LN(2)/25)*Calculateur!V124*Calculateur!X124*VLOOKUP('Données projet'!$B$9,Paramètres!$A$1:$I$89,3,0)*0.475*44/12</f>
        <v>0</v>
      </c>
      <c r="AB124" s="21">
        <f>EXP(-LN(2)/2)*AB123+(1-EXP(-LN(2)/2))/(LN(2)/2)*V124*Y124*VLOOKUP('Données projet'!$B$9,Paramètres!$A$1:$I$89,3,0)*0.475*44/12</f>
        <v>8.1114171030923062E-13</v>
      </c>
      <c r="AC124" s="22">
        <f t="shared" si="57"/>
        <v>4.8422461137879411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4.0999999999999996</v>
      </c>
      <c r="AI124" s="13">
        <f>IF('Données projet'!$A$62&gt;35,AI123+AH124-AQ123,IF(A124&lt;'Données projet'!$A$62,$AF$205^A124,IF(A124='Données projet'!$A$62,'Données projet'!$B$62,AI123+AH124-AQ123)))</f>
        <v>331.09999999999968</v>
      </c>
      <c r="AJ124" s="13">
        <f>AI124*VLOOKUP('Données projet'!$B$10,Paramètres!$A$1:$I$89,3,0)*VLOOKUP('Données projet'!$B$10,Paramètres!$A$1:$I$89,5,0)</f>
        <v>278.91863999999975</v>
      </c>
      <c r="AK124" s="13">
        <f t="shared" si="89"/>
        <v>66.738434989089512</v>
      </c>
      <c r="AL124" s="20">
        <f t="shared" si="58"/>
        <v>602.01940560599712</v>
      </c>
      <c r="AM124" s="59">
        <f t="shared" si="59"/>
        <v>895.35273893933049</v>
      </c>
      <c r="AN124" s="59">
        <f ca="1">AVERAGE(OFFSET($AM$3,0,0,'Données projet'!$E$10+1,1))-AVERAGE(OFFSET($H$3,0,0,'Données projet'!$E$10+1,1))</f>
        <v>382.67703499770795</v>
      </c>
      <c r="AO124" s="59">
        <f t="shared" si="90"/>
        <v>237.98926636458219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42.224625863534897</v>
      </c>
      <c r="AV124" s="21">
        <f>EXP(-LN(2)/25)*AV123+(1-EXP(-LN(2)/25))/(LN(2)/25)*Calculateur!AQ124*Calculateur!AS124*VLOOKUP('Données projet'!$B$10,Paramètres!$A$1:$I$89,3,0)*0.475*44/12</f>
        <v>0</v>
      </c>
      <c r="AW124" s="21">
        <f>EXP(-LN(2)/2)*AW123+(1-EXP(-LN(2)/2))/(LN(2)/2)*AQ124*AT124*VLOOKUP('Données projet'!$B$10,Paramètres!$A$1:$I$89,3,0)*0.475*44/12</f>
        <v>0</v>
      </c>
      <c r="AX124" s="21">
        <f t="shared" si="60"/>
        <v>42.224625863534897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25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66.611999999999966</v>
      </c>
      <c r="D125" s="11">
        <f t="shared" si="86"/>
        <v>18.829683939536395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659.54984093677194</v>
      </c>
      <c r="H125" s="67">
        <f t="shared" si="56"/>
        <v>442.14426619469248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4.5474735088646412E-13</v>
      </c>
      <c r="O125" s="13">
        <f>N125*VLOOKUP('Données projet'!$B$9,Paramètres!$A$1:$I$89,3,0)*VLOOKUP('Données projet'!$B$9,Paramètres!$A$1:$I$89,5,0)</f>
        <v>2.7193891583010558E-13</v>
      </c>
      <c r="P125" s="13">
        <f t="shared" si="87"/>
        <v>3.6362267729089988E-12</v>
      </c>
      <c r="Q125" s="20">
        <f t="shared" si="107"/>
        <v>6.8067219078872727E-12</v>
      </c>
      <c r="R125" s="59">
        <f t="shared" si="55"/>
        <v>293.33333333334014</v>
      </c>
      <c r="S125" s="59">
        <f ca="1">AVERAGE(OFFSET($R$3,0,0,'Données projet'!$E$9+1,1))-AVERAGE(OFFSET($H$3,0,0,'Données projet'!$E$9+1,1))</f>
        <v>252.28378247570731</v>
      </c>
      <c r="T125" s="59">
        <f t="shared" si="88"/>
        <v>263.50418595307343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4.7472926209742621</v>
      </c>
      <c r="AA125" s="21">
        <f>EXP(-LN(2)/25)*AA124+(1-EXP(-LN(2)/25))/(LN(2)/25)*Calculateur!V125*Calculateur!X125*VLOOKUP('Données projet'!$B$9,Paramètres!$A$1:$I$89,3,0)*0.475*44/12</f>
        <v>0</v>
      </c>
      <c r="AB125" s="21">
        <f>EXP(-LN(2)/2)*AB124+(1-EXP(-LN(2)/2))/(LN(2)/2)*V125*Y125*VLOOKUP('Données projet'!$B$9,Paramètres!$A$1:$I$89,3,0)*0.475*44/12</f>
        <v>5.7356380386291105E-13</v>
      </c>
      <c r="AC125" s="22">
        <f t="shared" si="57"/>
        <v>4.7472926209748358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4.0999999999999996</v>
      </c>
      <c r="AI125" s="13">
        <f>IF('Données projet'!$A$62&gt;35,AI124+AH125-AQ124,IF(A125&lt;'Données projet'!$A$62,$AF$205^A125,IF(A125='Données projet'!$A$62,'Données projet'!$B$62,AI124+AH125-AQ124)))</f>
        <v>335.1999999999997</v>
      </c>
      <c r="AJ125" s="13">
        <f>AI125*VLOOKUP('Données projet'!$B$10,Paramètres!$A$1:$I$89,3,0)*VLOOKUP('Données projet'!$B$10,Paramètres!$A$1:$I$89,5,0)</f>
        <v>282.37247999999977</v>
      </c>
      <c r="AK125" s="13">
        <f t="shared" si="89"/>
        <v>67.468135636314159</v>
      </c>
      <c r="AL125" s="20">
        <f t="shared" si="58"/>
        <v>609.30573889991354</v>
      </c>
      <c r="AM125" s="59">
        <f t="shared" si="59"/>
        <v>902.63907223324691</v>
      </c>
      <c r="AN125" s="59">
        <f ca="1">AVERAGE(OFFSET($AM$3,0,0,'Données projet'!$E$10+1,1))-AVERAGE(OFFSET($H$3,0,0,'Données projet'!$E$10+1,1))</f>
        <v>382.67703499770795</v>
      </c>
      <c r="AO125" s="59">
        <f t="shared" si="90"/>
        <v>237.98926636458219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41.396626704829707</v>
      </c>
      <c r="AV125" s="21">
        <f>EXP(-LN(2)/25)*AV124+(1-EXP(-LN(2)/25))/(LN(2)/25)*Calculateur!AQ125*Calculateur!AS125*VLOOKUP('Données projet'!$B$10,Paramètres!$A$1:$I$89,3,0)*0.475*44/12</f>
        <v>0</v>
      </c>
      <c r="AW125" s="21">
        <f>EXP(-LN(2)/2)*AW124+(1-EXP(-LN(2)/2))/(LN(2)/2)*AQ125*AT125*VLOOKUP('Données projet'!$B$10,Paramètres!$A$1:$I$89,3,0)*0.475*44/12</f>
        <v>0</v>
      </c>
      <c r="AX125" s="21">
        <f t="shared" si="60"/>
        <v>41.396626704829707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25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67.157999999999973</v>
      </c>
      <c r="D126" s="11">
        <f t="shared" si="86"/>
        <v>18.965995379979955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664.81680644195035</v>
      </c>
      <c r="H126" s="67">
        <f t="shared" si="56"/>
        <v>443.33262528679836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4.5474735088646412E-13</v>
      </c>
      <c r="O126" s="13">
        <f>N126*VLOOKUP('Données projet'!$B$9,Paramètres!$A$1:$I$89,3,0)*VLOOKUP('Données projet'!$B$9,Paramètres!$A$1:$I$89,5,0)</f>
        <v>2.7193891583010558E-13</v>
      </c>
      <c r="P126" s="13">
        <f t="shared" si="87"/>
        <v>3.6362267729089988E-12</v>
      </c>
      <c r="Q126" s="20">
        <f t="shared" si="107"/>
        <v>6.8067219078872727E-12</v>
      </c>
      <c r="R126" s="59">
        <f t="shared" si="55"/>
        <v>293.33333333334014</v>
      </c>
      <c r="S126" s="59">
        <f ca="1">AVERAGE(OFFSET($R$3,0,0,'Données projet'!$E$9+1,1))-AVERAGE(OFFSET($H$3,0,0,'Données projet'!$E$9+1,1))</f>
        <v>252.28378247570731</v>
      </c>
      <c r="T126" s="59">
        <f t="shared" si="88"/>
        <v>263.50418595307343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4.6542011082395423</v>
      </c>
      <c r="AA126" s="21">
        <f>EXP(-LN(2)/25)*AA125+(1-EXP(-LN(2)/25))/(LN(2)/25)*Calculateur!V126*Calculateur!X126*VLOOKUP('Données projet'!$B$9,Paramètres!$A$1:$I$89,3,0)*0.475*44/12</f>
        <v>0</v>
      </c>
      <c r="AB126" s="21">
        <f>EXP(-LN(2)/2)*AB125+(1-EXP(-LN(2)/2))/(LN(2)/2)*V126*Y126*VLOOKUP('Données projet'!$B$9,Paramètres!$A$1:$I$89,3,0)*0.475*44/12</f>
        <v>4.0557085515461531E-13</v>
      </c>
      <c r="AC126" s="22">
        <f t="shared" si="57"/>
        <v>4.6542011082399481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4.0999999999999996</v>
      </c>
      <c r="AI126" s="13">
        <f>IF('Données projet'!$A$62&gt;35,AI125+AH126-AQ125,IF(A126&lt;'Données projet'!$A$62,$AF$205^A126,IF(A126='Données projet'!$A$62,'Données projet'!$B$62,AI125+AH126-AQ125)))</f>
        <v>339.29999999999973</v>
      </c>
      <c r="AJ126" s="13">
        <f>AI126*VLOOKUP('Données projet'!$B$10,Paramètres!$A$1:$I$89,3,0)*VLOOKUP('Données projet'!$B$10,Paramètres!$A$1:$I$89,5,0)</f>
        <v>285.82631999999978</v>
      </c>
      <c r="AK126" s="13">
        <f t="shared" si="89"/>
        <v>68.196798086264792</v>
      </c>
      <c r="AL126" s="20">
        <f t="shared" si="58"/>
        <v>616.59026400024413</v>
      </c>
      <c r="AM126" s="59">
        <f t="shared" si="59"/>
        <v>909.92359733357739</v>
      </c>
      <c r="AN126" s="59">
        <f ca="1">AVERAGE(OFFSET($AM$3,0,0,'Données projet'!$E$10+1,1))-AVERAGE(OFFSET($H$3,0,0,'Données projet'!$E$10+1,1))</f>
        <v>382.67703499770795</v>
      </c>
      <c r="AO126" s="59">
        <f t="shared" si="90"/>
        <v>237.98926636458219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40.584864104597109</v>
      </c>
      <c r="AV126" s="21">
        <f>EXP(-LN(2)/25)*AV125+(1-EXP(-LN(2)/25))/(LN(2)/25)*Calculateur!AQ126*Calculateur!AS126*VLOOKUP('Données projet'!$B$10,Paramètres!$A$1:$I$89,3,0)*0.475*44/12</f>
        <v>0</v>
      </c>
      <c r="AW126" s="21">
        <f>EXP(-LN(2)/2)*AW125+(1-EXP(-LN(2)/2))/(LN(2)/2)*AQ126*AT126*VLOOKUP('Données projet'!$B$10,Paramètres!$A$1:$I$89,3,0)*0.475*44/12</f>
        <v>0</v>
      </c>
      <c r="AX126" s="21">
        <f t="shared" si="60"/>
        <v>40.584864104597109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25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67.703999999999979</v>
      </c>
      <c r="D127" s="11">
        <f t="shared" si="86"/>
        <v>19.102177882771514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670.08277663893784</v>
      </c>
      <c r="H127" s="67">
        <f t="shared" si="56"/>
        <v>444.52075981249368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4.5474735088646412E-13</v>
      </c>
      <c r="O127" s="13">
        <f>N127*VLOOKUP('Données projet'!$B$9,Paramètres!$A$1:$I$89,3,0)*VLOOKUP('Données projet'!$B$9,Paramètres!$A$1:$I$89,5,0)</f>
        <v>2.7193891583010558E-13</v>
      </c>
      <c r="P127" s="13">
        <f t="shared" si="87"/>
        <v>3.6362267729089988E-12</v>
      </c>
      <c r="Q127" s="20">
        <f t="shared" si="107"/>
        <v>6.8067219078872727E-12</v>
      </c>
      <c r="R127" s="59">
        <f t="shared" si="55"/>
        <v>293.33333333334014</v>
      </c>
      <c r="S127" s="59">
        <f ca="1">AVERAGE(OFFSET($R$3,0,0,'Données projet'!$E$9+1,1))-AVERAGE(OFFSET($H$3,0,0,'Données projet'!$E$9+1,1))</f>
        <v>252.28378247570731</v>
      </c>
      <c r="T127" s="59">
        <f t="shared" si="88"/>
        <v>263.50418595307343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4.5629350632893342</v>
      </c>
      <c r="AA127" s="21">
        <f>EXP(-LN(2)/25)*AA126+(1-EXP(-LN(2)/25))/(LN(2)/25)*Calculateur!V127*Calculateur!X127*VLOOKUP('Données projet'!$B$9,Paramètres!$A$1:$I$89,3,0)*0.475*44/12</f>
        <v>0</v>
      </c>
      <c r="AB127" s="21">
        <f>EXP(-LN(2)/2)*AB126+(1-EXP(-LN(2)/2))/(LN(2)/2)*V127*Y127*VLOOKUP('Données projet'!$B$9,Paramètres!$A$1:$I$89,3,0)*0.475*44/12</f>
        <v>2.8678190193145552E-13</v>
      </c>
      <c r="AC127" s="22">
        <f t="shared" si="57"/>
        <v>4.5629350632896211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4.0999999999999996</v>
      </c>
      <c r="AI127" s="13">
        <f>IF('Données projet'!$A$62&gt;35,AI126+AH127-AQ126,IF(A127&lt;'Données projet'!$A$62,$AF$205^A127,IF(A127='Données projet'!$A$62,'Données projet'!$B$62,AI126+AH127-AQ126)))</f>
        <v>343.39999999999975</v>
      </c>
      <c r="AJ127" s="13">
        <f>AI127*VLOOKUP('Données projet'!$B$10,Paramètres!$A$1:$I$89,3,0)*VLOOKUP('Données projet'!$B$10,Paramètres!$A$1:$I$89,5,0)</f>
        <v>289.2801599999998</v>
      </c>
      <c r="AK127" s="13">
        <f t="shared" si="89"/>
        <v>68.924436335316329</v>
      </c>
      <c r="AL127" s="20">
        <f t="shared" si="58"/>
        <v>623.87300528400885</v>
      </c>
      <c r="AM127" s="59">
        <f t="shared" si="59"/>
        <v>917.20633861734223</v>
      </c>
      <c r="AN127" s="59">
        <f ca="1">AVERAGE(OFFSET($AM$3,0,0,'Données projet'!$E$10+1,1))-AVERAGE(OFFSET($H$3,0,0,'Données projet'!$E$10+1,1))</f>
        <v>382.67703499770795</v>
      </c>
      <c r="AO127" s="59">
        <f t="shared" si="90"/>
        <v>237.98926636458219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39.789019673828776</v>
      </c>
      <c r="AV127" s="21">
        <f>EXP(-LN(2)/25)*AV126+(1-EXP(-LN(2)/25))/(LN(2)/25)*Calculateur!AQ127*Calculateur!AS127*VLOOKUP('Données projet'!$B$10,Paramètres!$A$1:$I$89,3,0)*0.475*44/12</f>
        <v>0</v>
      </c>
      <c r="AW127" s="21">
        <f>EXP(-LN(2)/2)*AW126+(1-EXP(-LN(2)/2))/(LN(2)/2)*AQ127*AT127*VLOOKUP('Données projet'!$B$10,Paramètres!$A$1:$I$89,3,0)*0.475*44/12</f>
        <v>0</v>
      </c>
      <c r="AX127" s="21">
        <f t="shared" si="60"/>
        <v>39.789019673828776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25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68.249999999999986</v>
      </c>
      <c r="D128" s="11">
        <f t="shared" si="86"/>
        <v>19.238232608246435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675.34776048470928</v>
      </c>
      <c r="H128" s="67">
        <f t="shared" si="56"/>
        <v>445.70867179269578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4.5474735088646412E-13</v>
      </c>
      <c r="O128" s="13">
        <f>N128*VLOOKUP('Données projet'!$B$9,Paramètres!$A$1:$I$89,3,0)*VLOOKUP('Données projet'!$B$9,Paramètres!$A$1:$I$89,5,0)</f>
        <v>2.7193891583010558E-13</v>
      </c>
      <c r="P128" s="13">
        <f t="shared" si="87"/>
        <v>3.6362267729089988E-12</v>
      </c>
      <c r="Q128" s="20">
        <f t="shared" si="107"/>
        <v>6.8067219078872727E-12</v>
      </c>
      <c r="R128" s="59">
        <f t="shared" si="55"/>
        <v>293.33333333334014</v>
      </c>
      <c r="S128" s="59">
        <f ca="1">AVERAGE(OFFSET($R$3,0,0,'Données projet'!$E$9+1,1))-AVERAGE(OFFSET($H$3,0,0,'Données projet'!$E$9+1,1))</f>
        <v>252.28378247570731</v>
      </c>
      <c r="T128" s="59">
        <f t="shared" si="88"/>
        <v>263.50418595307343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4.4734586898138087</v>
      </c>
      <c r="AA128" s="21">
        <f>EXP(-LN(2)/25)*AA127+(1-EXP(-LN(2)/25))/(LN(2)/25)*Calculateur!V128*Calculateur!X128*VLOOKUP('Données projet'!$B$9,Paramètres!$A$1:$I$89,3,0)*0.475*44/12</f>
        <v>0</v>
      </c>
      <c r="AB128" s="21">
        <f>EXP(-LN(2)/2)*AB127+(1-EXP(-LN(2)/2))/(LN(2)/2)*V128*Y128*VLOOKUP('Données projet'!$B$9,Paramètres!$A$1:$I$89,3,0)*0.475*44/12</f>
        <v>2.0278542757730765E-13</v>
      </c>
      <c r="AC128" s="22">
        <f t="shared" si="57"/>
        <v>4.4734586898140112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4.0999999999999996</v>
      </c>
      <c r="AI128" s="13">
        <f>IF('Données projet'!$A$62&gt;35,AI127+AH128-AQ127,IF(A128&lt;'Données projet'!$A$62,$AF$205^A128,IF(A128='Données projet'!$A$62,'Données projet'!$B$62,AI127+AH128-AQ127)))</f>
        <v>347.49999999999977</v>
      </c>
      <c r="AJ128" s="13">
        <f>AI128*VLOOKUP('Données projet'!$B$10,Paramètres!$A$1:$I$89,3,0)*VLOOKUP('Données projet'!$B$10,Paramètres!$A$1:$I$89,5,0)</f>
        <v>292.73399999999987</v>
      </c>
      <c r="AK128" s="13">
        <f t="shared" si="89"/>
        <v>69.651064026395645</v>
      </c>
      <c r="AL128" s="20">
        <f t="shared" si="58"/>
        <v>631.15398651263888</v>
      </c>
      <c r="AM128" s="59">
        <f t="shared" si="59"/>
        <v>924.48731984597225</v>
      </c>
      <c r="AN128" s="59">
        <f ca="1">AVERAGE(OFFSET($AM$3,0,0,'Données projet'!$E$10+1,1))-AVERAGE(OFFSET($H$3,0,0,'Données projet'!$E$10+1,1))</f>
        <v>382.67703499770795</v>
      </c>
      <c r="AO128" s="59">
        <f t="shared" si="90"/>
        <v>237.98926636458219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39.00878126693064</v>
      </c>
      <c r="AV128" s="21">
        <f>EXP(-LN(2)/25)*AV127+(1-EXP(-LN(2)/25))/(LN(2)/25)*Calculateur!AQ128*Calculateur!AS128*VLOOKUP('Données projet'!$B$10,Paramètres!$A$1:$I$89,3,0)*0.475*44/12</f>
        <v>0</v>
      </c>
      <c r="AW128" s="21">
        <f>EXP(-LN(2)/2)*AW127+(1-EXP(-LN(2)/2))/(LN(2)/2)*AQ128*AT128*VLOOKUP('Données projet'!$B$10,Paramètres!$A$1:$I$89,3,0)*0.475*44/12</f>
        <v>0</v>
      </c>
      <c r="AX128" s="21">
        <f t="shared" si="60"/>
        <v>39.00878126693064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25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68.795999999999992</v>
      </c>
      <c r="D129" s="11">
        <f t="shared" si="86"/>
        <v>19.374160697102734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680.61176678465267</v>
      </c>
      <c r="H129" s="67">
        <f t="shared" si="56"/>
        <v>446.89636321412058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4.5474735088646412E-13</v>
      </c>
      <c r="O129" s="13">
        <f>N129*VLOOKUP('Données projet'!$B$9,Paramètres!$A$1:$I$89,3,0)*VLOOKUP('Données projet'!$B$9,Paramètres!$A$1:$I$89,5,0)</f>
        <v>2.7193891583010558E-13</v>
      </c>
      <c r="P129" s="13">
        <f t="shared" si="87"/>
        <v>3.6362267729089988E-12</v>
      </c>
      <c r="Q129" s="20">
        <f t="shared" si="107"/>
        <v>6.8067219078872727E-12</v>
      </c>
      <c r="R129" s="59">
        <f t="shared" si="55"/>
        <v>293.33333333334014</v>
      </c>
      <c r="S129" s="59">
        <f ca="1">AVERAGE(OFFSET($R$3,0,0,'Données projet'!$E$9+1,1))-AVERAGE(OFFSET($H$3,0,0,'Données projet'!$E$9+1,1))</f>
        <v>252.28378247570731</v>
      </c>
      <c r="T129" s="59">
        <f t="shared" si="88"/>
        <v>263.50418595307343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4.3857368934469401</v>
      </c>
      <c r="AA129" s="21">
        <f>EXP(-LN(2)/25)*AA128+(1-EXP(-LN(2)/25))/(LN(2)/25)*Calculateur!V129*Calculateur!X129*VLOOKUP('Données projet'!$B$9,Paramètres!$A$1:$I$89,3,0)*0.475*44/12</f>
        <v>0</v>
      </c>
      <c r="AB129" s="21">
        <f>EXP(-LN(2)/2)*AB128+(1-EXP(-LN(2)/2))/(LN(2)/2)*V129*Y129*VLOOKUP('Données projet'!$B$9,Paramètres!$A$1:$I$89,3,0)*0.475*44/12</f>
        <v>1.4339095096572776E-13</v>
      </c>
      <c r="AC129" s="22">
        <f t="shared" si="57"/>
        <v>4.3857368934470831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4.0999999999999996</v>
      </c>
      <c r="AI129" s="13">
        <f>IF('Données projet'!$A$62&gt;35,AI128+AH129-AQ128,IF(A129&lt;'Données projet'!$A$62,$AF$205^A129,IF(A129='Données projet'!$A$62,'Données projet'!$B$62,AI128+AH129-AQ128)))</f>
        <v>351.5999999999998</v>
      </c>
      <c r="AJ129" s="13">
        <f>AI129*VLOOKUP('Données projet'!$B$10,Paramètres!$A$1:$I$89,3,0)*VLOOKUP('Données projet'!$B$10,Paramètres!$A$1:$I$89,5,0)</f>
        <v>296.18783999999982</v>
      </c>
      <c r="AK129" s="13">
        <f t="shared" si="89"/>
        <v>70.37669446196935</v>
      </c>
      <c r="AL129" s="20">
        <f t="shared" si="58"/>
        <v>638.43323085459633</v>
      </c>
      <c r="AM129" s="59">
        <f t="shared" si="59"/>
        <v>931.76656418792959</v>
      </c>
      <c r="AN129" s="59">
        <f ca="1">AVERAGE(OFFSET($AM$3,0,0,'Données projet'!$E$10+1,1))-AVERAGE(OFFSET($H$3,0,0,'Données projet'!$E$10+1,1))</f>
        <v>382.67703499770795</v>
      </c>
      <c r="AO129" s="59">
        <f t="shared" si="90"/>
        <v>237.98926636458219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38.243842859293338</v>
      </c>
      <c r="AV129" s="21">
        <f>EXP(-LN(2)/25)*AV128+(1-EXP(-LN(2)/25))/(LN(2)/25)*Calculateur!AQ129*Calculateur!AS129*VLOOKUP('Données projet'!$B$10,Paramètres!$A$1:$I$89,3,0)*0.475*44/12</f>
        <v>0</v>
      </c>
      <c r="AW129" s="21">
        <f>EXP(-LN(2)/2)*AW128+(1-EXP(-LN(2)/2))/(LN(2)/2)*AQ129*AT129*VLOOKUP('Données projet'!$B$10,Paramètres!$A$1:$I$89,3,0)*0.475*44/12</f>
        <v>0</v>
      </c>
      <c r="AX129" s="21">
        <f t="shared" si="60"/>
        <v>38.243842859293338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25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69.341999999999999</v>
      </c>
      <c r="D130" s="11">
        <f t="shared" si="86"/>
        <v>19.509963270886551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685.87480419631731</v>
      </c>
      <c r="H130" s="67">
        <f t="shared" si="56"/>
        <v>448.08383603012737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4.5474735088646412E-13</v>
      </c>
      <c r="O130" s="13">
        <f>N130*VLOOKUP('Données projet'!$B$9,Paramètres!$A$1:$I$89,3,0)*VLOOKUP('Données projet'!$B$9,Paramètres!$A$1:$I$89,5,0)</f>
        <v>2.7193891583010558E-13</v>
      </c>
      <c r="P130" s="13">
        <f t="shared" si="87"/>
        <v>3.6362267729089988E-12</v>
      </c>
      <c r="Q130" s="20">
        <f t="shared" si="107"/>
        <v>6.8067219078872727E-12</v>
      </c>
      <c r="R130" s="59">
        <f t="shared" si="55"/>
        <v>293.33333333334014</v>
      </c>
      <c r="S130" s="59">
        <f ca="1">AVERAGE(OFFSET($R$3,0,0,'Données projet'!$E$9+1,1))-AVERAGE(OFFSET($H$3,0,0,'Données projet'!$E$9+1,1))</f>
        <v>252.28378247570731</v>
      </c>
      <c r="T130" s="59">
        <f t="shared" si="88"/>
        <v>263.50418595307343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4.2997352680018128</v>
      </c>
      <c r="AA130" s="21">
        <f>EXP(-LN(2)/25)*AA129+(1-EXP(-LN(2)/25))/(LN(2)/25)*Calculateur!V130*Calculateur!X130*VLOOKUP('Données projet'!$B$9,Paramètres!$A$1:$I$89,3,0)*0.475*44/12</f>
        <v>0</v>
      </c>
      <c r="AB130" s="21">
        <f>EXP(-LN(2)/2)*AB129+(1-EXP(-LN(2)/2))/(LN(2)/2)*V130*Y130*VLOOKUP('Données projet'!$B$9,Paramètres!$A$1:$I$89,3,0)*0.475*44/12</f>
        <v>1.0139271378865383E-13</v>
      </c>
      <c r="AC130" s="22">
        <f t="shared" si="57"/>
        <v>4.2997352680019141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4.0999999999999996</v>
      </c>
      <c r="AI130" s="13">
        <f>IF('Données projet'!$A$62&gt;35,AI129+AH130-AQ129,IF(A130&lt;'Données projet'!$A$62,$AF$205^A130,IF(A130='Données projet'!$A$62,'Données projet'!$B$62,AI129+AH130-AQ129)))</f>
        <v>355.69999999999982</v>
      </c>
      <c r="AJ130" s="13">
        <f>AI130*VLOOKUP('Données projet'!$B$10,Paramètres!$A$1:$I$89,3,0)*VLOOKUP('Données projet'!$B$10,Paramètres!$A$1:$I$89,5,0)</f>
        <v>299.64167999999989</v>
      </c>
      <c r="AK130" s="13">
        <f t="shared" si="89"/>
        <v>71.101340616409487</v>
      </c>
      <c r="AL130" s="20">
        <f t="shared" si="58"/>
        <v>645.71076090691292</v>
      </c>
      <c r="AM130" s="59">
        <f t="shared" si="59"/>
        <v>939.0440942402463</v>
      </c>
      <c r="AN130" s="59">
        <f ca="1">AVERAGE(OFFSET($AM$3,0,0,'Données projet'!$E$10+1,1))-AVERAGE(OFFSET($H$3,0,0,'Données projet'!$E$10+1,1))</f>
        <v>382.67703499770795</v>
      </c>
      <c r="AO130" s="59">
        <f t="shared" si="90"/>
        <v>237.98926636458219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37.493904427263445</v>
      </c>
      <c r="AV130" s="21">
        <f>EXP(-LN(2)/25)*AV129+(1-EXP(-LN(2)/25))/(LN(2)/25)*Calculateur!AQ130*Calculateur!AS130*VLOOKUP('Données projet'!$B$10,Paramètres!$A$1:$I$89,3,0)*0.475*44/12</f>
        <v>0</v>
      </c>
      <c r="AW130" s="21">
        <f>EXP(-LN(2)/2)*AW129+(1-EXP(-LN(2)/2))/(LN(2)/2)*AQ130*AT130*VLOOKUP('Données projet'!$B$10,Paramètres!$A$1:$I$89,3,0)*0.475*44/12</f>
        <v>0</v>
      </c>
      <c r="AX130" s="21">
        <f t="shared" si="60"/>
        <v>37.493904427263445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25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69.888000000000005</v>
      </c>
      <c r="D131" s="11">
        <f t="shared" si="86"/>
        <v>19.645641432461961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691.13688123303973</v>
      </c>
      <c r="H131" s="67">
        <f t="shared" si="56"/>
        <v>449.27109216153792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4.5474735088646412E-13</v>
      </c>
      <c r="O131" s="13">
        <f>N131*VLOOKUP('Données projet'!$B$9,Paramètres!$A$1:$I$89,3,0)*VLOOKUP('Données projet'!$B$9,Paramètres!$A$1:$I$89,5,0)</f>
        <v>2.7193891583010558E-13</v>
      </c>
      <c r="P131" s="13">
        <f t="shared" si="87"/>
        <v>3.6362267729089988E-12</v>
      </c>
      <c r="Q131" s="20">
        <f t="shared" ref="Q131:Q153" si="108">(O131+P131)*0.475*44/12</f>
        <v>6.8067219078872727E-12</v>
      </c>
      <c r="R131" s="59">
        <f t="shared" ref="R131:R194" si="109">Q131+(I131+J131)*44/12</f>
        <v>293.33333333334014</v>
      </c>
      <c r="S131" s="59">
        <f ca="1">AVERAGE(OFFSET($R$3,0,0,'Données projet'!$E$9+1,1))-AVERAGE(OFFSET($H$3,0,0,'Données projet'!$E$9+1,1))</f>
        <v>252.28378247570731</v>
      </c>
      <c r="T131" s="59">
        <f t="shared" si="88"/>
        <v>263.50418595307343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4.2154200819758527</v>
      </c>
      <c r="AA131" s="21">
        <f>EXP(-LN(2)/25)*AA130+(1-EXP(-LN(2)/25))/(LN(2)/25)*Calculateur!V131*Calculateur!X131*VLOOKUP('Données projet'!$B$9,Paramètres!$A$1:$I$89,3,0)*0.475*44/12</f>
        <v>0</v>
      </c>
      <c r="AB131" s="21">
        <f>EXP(-LN(2)/2)*AB130+(1-EXP(-LN(2)/2))/(LN(2)/2)*V131*Y131*VLOOKUP('Données projet'!$B$9,Paramètres!$A$1:$I$89,3,0)*0.475*44/12</f>
        <v>7.1695475482863881E-14</v>
      </c>
      <c r="AC131" s="22">
        <f t="shared" si="57"/>
        <v>4.2154200819759247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4.0999999999999996</v>
      </c>
      <c r="AI131" s="13">
        <f>IF('Données projet'!$A$62&gt;35,AI130+AH131-AQ130,IF(A131&lt;'Données projet'!$A$62,$AF$205^A131,IF(A131='Données projet'!$A$62,'Données projet'!$B$62,AI130+AH131-AQ130)))</f>
        <v>359.79999999999984</v>
      </c>
      <c r="AJ131" s="13">
        <f>AI131*VLOOKUP('Données projet'!$B$10,Paramètres!$A$1:$I$89,3,0)*VLOOKUP('Données projet'!$B$10,Paramètres!$A$1:$I$89,5,0)</f>
        <v>303.09551999999991</v>
      </c>
      <c r="AK131" s="13">
        <f t="shared" si="89"/>
        <v>71.825015147771637</v>
      </c>
      <c r="AL131" s="20">
        <f t="shared" si="58"/>
        <v>652.98659871570203</v>
      </c>
      <c r="AM131" s="59">
        <f t="shared" si="59"/>
        <v>946.31993204903529</v>
      </c>
      <c r="AN131" s="59">
        <f ca="1">AVERAGE(OFFSET($AM$3,0,0,'Données projet'!$E$10+1,1))-AVERAGE(OFFSET($H$3,0,0,'Données projet'!$E$10+1,1))</f>
        <v>382.67703499770795</v>
      </c>
      <c r="AO131" s="59">
        <f t="shared" si="90"/>
        <v>237.98926636458219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36.75867183046838</v>
      </c>
      <c r="AV131" s="21">
        <f>EXP(-LN(2)/25)*AV130+(1-EXP(-LN(2)/25))/(LN(2)/25)*Calculateur!AQ131*Calculateur!AS131*VLOOKUP('Données projet'!$B$10,Paramètres!$A$1:$I$89,3,0)*0.475*44/12</f>
        <v>0</v>
      </c>
      <c r="AW131" s="21">
        <f>EXP(-LN(2)/2)*AW130+(1-EXP(-LN(2)/2))/(LN(2)/2)*AQ131*AT131*VLOOKUP('Données projet'!$B$10,Paramètres!$A$1:$I$89,3,0)*0.475*44/12</f>
        <v>0</v>
      </c>
      <c r="AX131" s="21">
        <f t="shared" si="60"/>
        <v>36.75867183046838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25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70.434000000000012</v>
      </c>
      <c r="D132" s="11">
        <f t="shared" si="86"/>
        <v>19.78119626646561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696.39800626745398</v>
      </c>
      <c r="H132" s="67">
        <f t="shared" ref="H132:H195" si="110">(B132+E132+F132)*44/12+(C132+D132)*0.475*44/12</f>
        <v>450.45813349742764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4.5474735088646412E-13</v>
      </c>
      <c r="O132" s="13">
        <f>N132*VLOOKUP('Données projet'!$B$9,Paramètres!$A$1:$I$89,3,0)*VLOOKUP('Données projet'!$B$9,Paramètres!$A$1:$I$89,5,0)</f>
        <v>2.7193891583010558E-13</v>
      </c>
      <c r="P132" s="13">
        <f t="shared" si="87"/>
        <v>3.6362267729089988E-12</v>
      </c>
      <c r="Q132" s="20">
        <f t="shared" si="108"/>
        <v>6.8067219078872727E-12</v>
      </c>
      <c r="R132" s="59">
        <f t="shared" si="109"/>
        <v>293.33333333334014</v>
      </c>
      <c r="S132" s="59">
        <f ca="1">AVERAGE(OFFSET($R$3,0,0,'Données projet'!$E$9+1,1))-AVERAGE(OFFSET($H$3,0,0,'Données projet'!$E$9+1,1))</f>
        <v>252.28378247570731</v>
      </c>
      <c r="T132" s="59">
        <f t="shared" si="88"/>
        <v>263.50418595307343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4.1327582653206765</v>
      </c>
      <c r="AA132" s="21">
        <f>EXP(-LN(2)/25)*AA131+(1-EXP(-LN(2)/25))/(LN(2)/25)*Calculateur!V132*Calculateur!X132*VLOOKUP('Données projet'!$B$9,Paramètres!$A$1:$I$89,3,0)*0.475*44/12</f>
        <v>0</v>
      </c>
      <c r="AB132" s="21">
        <f>EXP(-LN(2)/2)*AB131+(1-EXP(-LN(2)/2))/(LN(2)/2)*V132*Y132*VLOOKUP('Données projet'!$B$9,Paramètres!$A$1:$I$89,3,0)*0.475*44/12</f>
        <v>5.0696356894326914E-14</v>
      </c>
      <c r="AC132" s="22">
        <f t="shared" ref="AC132:AC153" si="111">SUM(Z132:AB132)</f>
        <v>4.1327582653207271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4.0999999999999996</v>
      </c>
      <c r="AI132" s="13">
        <f>IF('Données projet'!$A$62&gt;35,AI131+AH132-AQ131,IF(A132&lt;'Données projet'!$A$62,$AF$205^A132,IF(A132='Données projet'!$A$62,'Données projet'!$B$62,AI131+AH132-AQ131)))</f>
        <v>363.89999999999986</v>
      </c>
      <c r="AJ132" s="13">
        <f>AI132*VLOOKUP('Données projet'!$B$10,Paramètres!$A$1:$I$89,3,0)*VLOOKUP('Données projet'!$B$10,Paramètres!$A$1:$I$89,5,0)</f>
        <v>306.54935999999992</v>
      </c>
      <c r="AK132" s="13">
        <f t="shared" si="89"/>
        <v>72.547730409021852</v>
      </c>
      <c r="AL132" s="20">
        <f t="shared" ref="AL132:AL153" si="112">(AJ132+AK132)*0.475*44/12</f>
        <v>660.26076579571293</v>
      </c>
      <c r="AM132" s="59">
        <f t="shared" ref="AM132:AM195" si="113">AL132+(AD132+AE132)*44/12</f>
        <v>953.5940991290463</v>
      </c>
      <c r="AN132" s="59">
        <f ca="1">AVERAGE(OFFSET($AM$3,0,0,'Données projet'!$E$10+1,1))-AVERAGE(OFFSET($H$3,0,0,'Données projet'!$E$10+1,1))</f>
        <v>382.67703499770795</v>
      </c>
      <c r="AO132" s="59">
        <f t="shared" si="90"/>
        <v>237.98926636458219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36.037856696448863</v>
      </c>
      <c r="AV132" s="21">
        <f>EXP(-LN(2)/25)*AV131+(1-EXP(-LN(2)/25))/(LN(2)/25)*Calculateur!AQ132*Calculateur!AS132*VLOOKUP('Données projet'!$B$10,Paramètres!$A$1:$I$89,3,0)*0.475*44/12</f>
        <v>0</v>
      </c>
      <c r="AW132" s="21">
        <f>EXP(-LN(2)/2)*AW131+(1-EXP(-LN(2)/2))/(LN(2)/2)*AQ132*AT132*VLOOKUP('Données projet'!$B$10,Paramètres!$A$1:$I$89,3,0)*0.475*44/12</f>
        <v>0</v>
      </c>
      <c r="AX132" s="21">
        <f t="shared" ref="AX132:AX153" si="114">SUM(AU132:AW132)</f>
        <v>36.037856696448863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25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70.980000000000018</v>
      </c>
      <c r="D133" s="11">
        <f t="shared" ref="D133:D196" si="140">IFERROR(EXP(-1.0587+0.8836*LN(C133)+0.284),0)</f>
        <v>19.916628839746853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701.65818753488827</v>
      </c>
      <c r="H133" s="67">
        <f t="shared" si="110"/>
        <v>451.64496189589244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4.5474735088646412E-13</v>
      </c>
      <c r="O133" s="13">
        <f>N133*VLOOKUP('Données projet'!$B$9,Paramètres!$A$1:$I$89,3,0)*VLOOKUP('Données projet'!$B$9,Paramètres!$A$1:$I$89,5,0)</f>
        <v>2.7193891583010558E-13</v>
      </c>
      <c r="P133" s="13">
        <f t="shared" ref="P133:P196" si="141">EXP(-1.0587+0.8836*LN(O133)+0.284)</f>
        <v>3.6362267729089988E-12</v>
      </c>
      <c r="Q133" s="20">
        <f t="shared" si="108"/>
        <v>6.8067219078872727E-12</v>
      </c>
      <c r="R133" s="59">
        <f t="shared" si="109"/>
        <v>293.33333333334014</v>
      </c>
      <c r="S133" s="59">
        <f ca="1">AVERAGE(OFFSET($R$3,0,0,'Données projet'!$E$9+1,1))-AVERAGE(OFFSET($H$3,0,0,'Données projet'!$E$9+1,1))</f>
        <v>252.28378247570731</v>
      </c>
      <c r="T133" s="59">
        <f t="shared" ref="T133:T196" si="142">$T$3</f>
        <v>263.50418595307343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4.0517173964713784</v>
      </c>
      <c r="AA133" s="21">
        <f>EXP(-LN(2)/25)*AA132+(1-EXP(-LN(2)/25))/(LN(2)/25)*Calculateur!V133*Calculateur!X133*VLOOKUP('Données projet'!$B$9,Paramètres!$A$1:$I$89,3,0)*0.475*44/12</f>
        <v>0</v>
      </c>
      <c r="AB133" s="21">
        <f>EXP(-LN(2)/2)*AB132+(1-EXP(-LN(2)/2))/(LN(2)/2)*V133*Y133*VLOOKUP('Données projet'!$B$9,Paramètres!$A$1:$I$89,3,0)*0.475*44/12</f>
        <v>3.5847737741431941E-14</v>
      </c>
      <c r="AC133" s="22">
        <f t="shared" si="111"/>
        <v>4.0517173964714139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>
        <f>VLOOKUP(A133,'Données projet'!$A$61:$I$81,2,0)</f>
        <v>368</v>
      </c>
      <c r="AG133" s="12">
        <f>VLOOKUP(A133,'Données projet'!$A$61:$I$81,9,0)</f>
        <v>4.0999999999999996</v>
      </c>
      <c r="AH133" s="12">
        <f t="array" ref="AH133">INDEX(AG:AG,MIN(IF(ISNUMBER(AG133:AG329),ROW(AG133:AG329),"")))</f>
        <v>4.0999999999999996</v>
      </c>
      <c r="AI133" s="13">
        <f>IF('Données projet'!$A$62&gt;35,AI132+AH133-AQ132,IF(A133&lt;'Données projet'!$A$62,$AF$205^A133,IF(A133='Données projet'!$A$62,'Données projet'!$B$62,AI132+AH133-AQ132)))</f>
        <v>367.99999999999989</v>
      </c>
      <c r="AJ133" s="13">
        <f>AI133*VLOOKUP('Données projet'!$B$10,Paramètres!$A$1:$I$89,3,0)*VLOOKUP('Données projet'!$B$10,Paramètres!$A$1:$I$89,5,0)</f>
        <v>310.00319999999994</v>
      </c>
      <c r="AK133" s="13">
        <f t="shared" ref="AK133:AK153" si="143">EXP(-1.0587+0.8836*LN(AJ133)+0.284)</f>
        <v>73.269498458742788</v>
      </c>
      <c r="AL133" s="20">
        <f t="shared" si="112"/>
        <v>667.53328314897692</v>
      </c>
      <c r="AM133" s="59">
        <f t="shared" si="113"/>
        <v>960.86661648231029</v>
      </c>
      <c r="AN133" s="59">
        <f ca="1">AVERAGE(OFFSET($AM$3,0,0,'Données projet'!$E$10+1,1))-AVERAGE(OFFSET($H$3,0,0,'Données projet'!$E$10+1,1))</f>
        <v>382.67703499770795</v>
      </c>
      <c r="AO133" s="59">
        <f t="shared" ref="AO133:AO196" si="144">$AO$3</f>
        <v>237.98926636458219</v>
      </c>
      <c r="AP133" s="15">
        <f>IF(ISNA(VLOOKUP(A133,'Données projet'!$A$61:$I$81,3,0)),0,VLOOKUP(A133,'Données projet'!$A$61:$I$81,3,0))</f>
        <v>12</v>
      </c>
      <c r="AQ133" s="15">
        <f>IF(ISNA(VLOOKUP(A133,'Données projet'!$A$61:$I$81,4,0)),0,VLOOKUP(A133,'Données projet'!$A$61:$I$81,4,0))</f>
        <v>44</v>
      </c>
      <c r="AR133" s="16">
        <f>IF(ISNA(VLOOKUP(A133,'Données projet'!$A$61:$I$81,5,0)),0%,VLOOKUP(A133,'Données projet'!$A$61:$I$81,5,0)*VLOOKUP('Données projet'!$B$10,Paramètres!$A$1:$I$89,7,0))</f>
        <v>0.43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52.950393154388749</v>
      </c>
      <c r="AV133" s="21">
        <f>EXP(-LN(2)/25)*AV132+(1-EXP(-LN(2)/25))/(LN(2)/25)*Calculateur!AQ133*Calculateur!AS133*VLOOKUP('Données projet'!$B$10,Paramètres!$A$1:$I$89,3,0)*0.475*44/12</f>
        <v>0</v>
      </c>
      <c r="AW133" s="21">
        <f>EXP(-LN(2)/2)*AW132+(1-EXP(-LN(2)/2))/(LN(2)/2)*AQ133*AT133*VLOOKUP('Données projet'!$B$10,Paramètres!$A$1:$I$89,3,0)*0.475*44/12</f>
        <v>0</v>
      </c>
      <c r="AX133" s="21">
        <f t="shared" si="114"/>
        <v>52.950393154388749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25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71.526000000000025</v>
      </c>
      <c r="D134" s="11">
        <f t="shared" si="140"/>
        <v>20.051940201794032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706.91743313665609</v>
      </c>
      <c r="H134" s="67">
        <f t="shared" si="110"/>
        <v>452.83157918479128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4.5474735088646412E-13</v>
      </c>
      <c r="O134" s="13">
        <f>N134*VLOOKUP('Données projet'!$B$9,Paramètres!$A$1:$I$89,3,0)*VLOOKUP('Données projet'!$B$9,Paramètres!$A$1:$I$89,5,0)</f>
        <v>2.7193891583010558E-13</v>
      </c>
      <c r="P134" s="13">
        <f t="shared" si="141"/>
        <v>3.6362267729089988E-12</v>
      </c>
      <c r="Q134" s="20">
        <f t="shared" si="108"/>
        <v>6.8067219078872727E-12</v>
      </c>
      <c r="R134" s="59">
        <f t="shared" si="109"/>
        <v>293.33333333334014</v>
      </c>
      <c r="S134" s="59">
        <f ca="1">AVERAGE(OFFSET($R$3,0,0,'Données projet'!$E$9+1,1))-AVERAGE(OFFSET($H$3,0,0,'Données projet'!$E$9+1,1))</f>
        <v>252.28378247570731</v>
      </c>
      <c r="T134" s="59">
        <f t="shared" si="142"/>
        <v>263.50418595307343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3.9722656896301656</v>
      </c>
      <c r="AA134" s="21">
        <f>EXP(-LN(2)/25)*AA133+(1-EXP(-LN(2)/25))/(LN(2)/25)*Calculateur!V134*Calculateur!X134*VLOOKUP('Données projet'!$B$9,Paramètres!$A$1:$I$89,3,0)*0.475*44/12</f>
        <v>0</v>
      </c>
      <c r="AB134" s="21">
        <f>EXP(-LN(2)/2)*AB133+(1-EXP(-LN(2)/2))/(LN(2)/2)*V134*Y134*VLOOKUP('Données projet'!$B$9,Paramètres!$A$1:$I$89,3,0)*0.475*44/12</f>
        <v>2.5348178447163457E-14</v>
      </c>
      <c r="AC134" s="22">
        <f t="shared" si="111"/>
        <v>3.9722656896301909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3.8</v>
      </c>
      <c r="AI134" s="13">
        <f>IF('Données projet'!$A$62&gt;35,AI133+AH134-AQ133,IF(A134&lt;'Données projet'!$A$62,$AF$205^A134,IF(A134='Données projet'!$A$62,'Données projet'!$B$62,AI133+AH134-AQ133)))</f>
        <v>327.7999999999999</v>
      </c>
      <c r="AJ134" s="13">
        <f>AI134*VLOOKUP('Données projet'!$B$10,Paramètres!$A$1:$I$89,3,0)*VLOOKUP('Données projet'!$B$10,Paramètres!$A$1:$I$89,5,0)</f>
        <v>276.13871999999992</v>
      </c>
      <c r="AK134" s="13">
        <f t="shared" si="143"/>
        <v>66.150351116005822</v>
      </c>
      <c r="AL134" s="20">
        <f t="shared" si="112"/>
        <v>596.15346552704329</v>
      </c>
      <c r="AM134" s="59">
        <f t="shared" si="113"/>
        <v>889.48679886037667</v>
      </c>
      <c r="AN134" s="59">
        <f ca="1">AVERAGE(OFFSET($AM$3,0,0,'Données projet'!$E$10+1,1))-AVERAGE(OFFSET($H$3,0,0,'Données projet'!$E$10+1,1))</f>
        <v>382.67703499770795</v>
      </c>
      <c r="AO134" s="59">
        <f t="shared" si="144"/>
        <v>237.98926636458219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51.912068241181991</v>
      </c>
      <c r="AV134" s="21">
        <f>EXP(-LN(2)/25)*AV133+(1-EXP(-LN(2)/25))/(LN(2)/25)*Calculateur!AQ134*Calculateur!AS134*VLOOKUP('Données projet'!$B$10,Paramètres!$A$1:$I$89,3,0)*0.475*44/12</f>
        <v>0</v>
      </c>
      <c r="AW134" s="21">
        <f>EXP(-LN(2)/2)*AW133+(1-EXP(-LN(2)/2))/(LN(2)/2)*AQ134*AT134*VLOOKUP('Données projet'!$B$10,Paramètres!$A$1:$I$89,3,0)*0.475*44/12</f>
        <v>0</v>
      </c>
      <c r="AX134" s="21">
        <f t="shared" si="114"/>
        <v>51.912068241181991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25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72.072000000000031</v>
      </c>
      <c r="D135" s="11">
        <f t="shared" si="140"/>
        <v>20.187131385147271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712.17575104324226</v>
      </c>
      <c r="H135" s="67">
        <f t="shared" si="110"/>
        <v>454.01798716246486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4.5474735088646412E-13</v>
      </c>
      <c r="O135" s="13">
        <f>N135*VLOOKUP('Données projet'!$B$9,Paramètres!$A$1:$I$89,3,0)*VLOOKUP('Données projet'!$B$9,Paramètres!$A$1:$I$89,5,0)</f>
        <v>2.7193891583010558E-13</v>
      </c>
      <c r="P135" s="13">
        <f t="shared" si="141"/>
        <v>3.6362267729089988E-12</v>
      </c>
      <c r="Q135" s="20">
        <f t="shared" si="108"/>
        <v>6.8067219078872727E-12</v>
      </c>
      <c r="R135" s="59">
        <f t="shared" si="109"/>
        <v>293.33333333334014</v>
      </c>
      <c r="S135" s="59">
        <f ca="1">AVERAGE(OFFSET($R$3,0,0,'Données projet'!$E$9+1,1))-AVERAGE(OFFSET($H$3,0,0,'Données projet'!$E$9+1,1))</f>
        <v>252.28378247570731</v>
      </c>
      <c r="T135" s="59">
        <f t="shared" si="142"/>
        <v>263.50418595307343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3.894371982299353</v>
      </c>
      <c r="AA135" s="21">
        <f>EXP(-LN(2)/25)*AA134+(1-EXP(-LN(2)/25))/(LN(2)/25)*Calculateur!V135*Calculateur!X135*VLOOKUP('Données projet'!$B$9,Paramètres!$A$1:$I$89,3,0)*0.475*44/12</f>
        <v>0</v>
      </c>
      <c r="AB135" s="21">
        <f>EXP(-LN(2)/2)*AB134+(1-EXP(-LN(2)/2))/(LN(2)/2)*V135*Y135*VLOOKUP('Données projet'!$B$9,Paramètres!$A$1:$I$89,3,0)*0.475*44/12</f>
        <v>1.792386887071597E-14</v>
      </c>
      <c r="AC135" s="22">
        <f t="shared" si="111"/>
        <v>3.8943719822993708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3.8</v>
      </c>
      <c r="AI135" s="13">
        <f>IF('Données projet'!$A$62&gt;35,AI134+AH135-AQ134,IF(A135&lt;'Données projet'!$A$62,$AF$205^A135,IF(A135='Données projet'!$A$62,'Données projet'!$B$62,AI134+AH135-AQ134)))</f>
        <v>331.59999999999991</v>
      </c>
      <c r="AJ135" s="13">
        <f>AI135*VLOOKUP('Données projet'!$B$10,Paramètres!$A$1:$I$89,3,0)*VLOOKUP('Données projet'!$B$10,Paramètres!$A$1:$I$89,5,0)</f>
        <v>279.33983999999998</v>
      </c>
      <c r="AK135" s="13">
        <f t="shared" si="143"/>
        <v>66.827478935410426</v>
      </c>
      <c r="AL135" s="20">
        <f t="shared" si="112"/>
        <v>602.90808047917312</v>
      </c>
      <c r="AM135" s="59">
        <f t="shared" si="113"/>
        <v>896.24141381250638</v>
      </c>
      <c r="AN135" s="59">
        <f ca="1">AVERAGE(OFFSET($AM$3,0,0,'Données projet'!$E$10+1,1))-AVERAGE(OFFSET($H$3,0,0,'Données projet'!$E$10+1,1))</f>
        <v>382.67703499770795</v>
      </c>
      <c r="AO135" s="59">
        <f t="shared" si="144"/>
        <v>237.98926636458219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50.894104246207554</v>
      </c>
      <c r="AV135" s="21">
        <f>EXP(-LN(2)/25)*AV134+(1-EXP(-LN(2)/25))/(LN(2)/25)*Calculateur!AQ135*Calculateur!AS135*VLOOKUP('Données projet'!$B$10,Paramètres!$A$1:$I$89,3,0)*0.475*44/12</f>
        <v>0</v>
      </c>
      <c r="AW135" s="21">
        <f>EXP(-LN(2)/2)*AW134+(1-EXP(-LN(2)/2))/(LN(2)/2)*AQ135*AT135*VLOOKUP('Données projet'!$B$10,Paramètres!$A$1:$I$89,3,0)*0.475*44/12</f>
        <v>0</v>
      </c>
      <c r="AX135" s="21">
        <f t="shared" si="114"/>
        <v>50.894104246207554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25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72.618000000000038</v>
      </c>
      <c r="D136" s="11">
        <f t="shared" si="140"/>
        <v>20.322203405798462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717.43314909739195</v>
      </c>
      <c r="H136" s="67">
        <f t="shared" si="110"/>
        <v>455.20418759843233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4.5474735088646412E-13</v>
      </c>
      <c r="O136" s="13">
        <f>N136*VLOOKUP('Données projet'!$B$9,Paramètres!$A$1:$I$89,3,0)*VLOOKUP('Données projet'!$B$9,Paramètres!$A$1:$I$89,5,0)</f>
        <v>2.7193891583010558E-13</v>
      </c>
      <c r="P136" s="13">
        <f t="shared" si="141"/>
        <v>3.6362267729089988E-12</v>
      </c>
      <c r="Q136" s="20">
        <f t="shared" si="108"/>
        <v>6.8067219078872727E-12</v>
      </c>
      <c r="R136" s="59">
        <f t="shared" si="109"/>
        <v>293.33333333334014</v>
      </c>
      <c r="S136" s="59">
        <f ca="1">AVERAGE(OFFSET($R$3,0,0,'Données projet'!$E$9+1,1))-AVERAGE(OFFSET($H$3,0,0,'Données projet'!$E$9+1,1))</f>
        <v>252.28378247570731</v>
      </c>
      <c r="T136" s="59">
        <f t="shared" si="142"/>
        <v>263.50418595307343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3.8180057230588273</v>
      </c>
      <c r="AA136" s="21">
        <f>EXP(-LN(2)/25)*AA135+(1-EXP(-LN(2)/25))/(LN(2)/25)*Calculateur!V136*Calculateur!X136*VLOOKUP('Données projet'!$B$9,Paramètres!$A$1:$I$89,3,0)*0.475*44/12</f>
        <v>0</v>
      </c>
      <c r="AB136" s="21">
        <f>EXP(-LN(2)/2)*AB135+(1-EXP(-LN(2)/2))/(LN(2)/2)*V136*Y136*VLOOKUP('Données projet'!$B$9,Paramètres!$A$1:$I$89,3,0)*0.475*44/12</f>
        <v>1.2674089223581728E-14</v>
      </c>
      <c r="AC136" s="22">
        <f t="shared" si="111"/>
        <v>3.8180057230588402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3.8</v>
      </c>
      <c r="AI136" s="13">
        <f>IF('Données projet'!$A$62&gt;35,AI135+AH136-AQ135,IF(A136&lt;'Données projet'!$A$62,$AF$205^A136,IF(A136='Données projet'!$A$62,'Données projet'!$B$62,AI135+AH136-AQ135)))</f>
        <v>335.39999999999992</v>
      </c>
      <c r="AJ136" s="13">
        <f>AI136*VLOOKUP('Données projet'!$B$10,Paramètres!$A$1:$I$89,3,0)*VLOOKUP('Données projet'!$B$10,Paramètres!$A$1:$I$89,5,0)</f>
        <v>282.54095999999993</v>
      </c>
      <c r="AK136" s="13">
        <f t="shared" si="143"/>
        <v>67.503704117788104</v>
      </c>
      <c r="AL136" s="20">
        <f t="shared" si="112"/>
        <v>609.66112333848082</v>
      </c>
      <c r="AM136" s="59">
        <f t="shared" si="113"/>
        <v>902.99445667181408</v>
      </c>
      <c r="AN136" s="59">
        <f ca="1">AVERAGE(OFFSET($AM$3,0,0,'Données projet'!$E$10+1,1))-AVERAGE(OFFSET($H$3,0,0,'Données projet'!$E$10+1,1))</f>
        <v>382.67703499770795</v>
      </c>
      <c r="AO136" s="59">
        <f t="shared" si="144"/>
        <v>237.98926636458219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49.896101904277835</v>
      </c>
      <c r="AV136" s="21">
        <f>EXP(-LN(2)/25)*AV135+(1-EXP(-LN(2)/25))/(LN(2)/25)*Calculateur!AQ136*Calculateur!AS136*VLOOKUP('Données projet'!$B$10,Paramètres!$A$1:$I$89,3,0)*0.475*44/12</f>
        <v>0</v>
      </c>
      <c r="AW136" s="21">
        <f>EXP(-LN(2)/2)*AW135+(1-EXP(-LN(2)/2))/(LN(2)/2)*AQ136*AT136*VLOOKUP('Données projet'!$B$10,Paramètres!$A$1:$I$89,3,0)*0.475*44/12</f>
        <v>0</v>
      </c>
      <c r="AX136" s="21">
        <f t="shared" si="114"/>
        <v>49.896101904277835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25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73.164000000000044</v>
      </c>
      <c r="D137" s="11">
        <f t="shared" si="140"/>
        <v>20.457157263578868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722.68963501710039</v>
      </c>
      <c r="H137" s="67">
        <f t="shared" si="110"/>
        <v>456.39018223406657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4.5474735088646412E-13</v>
      </c>
      <c r="O137" s="13">
        <f>N137*VLOOKUP('Données projet'!$B$9,Paramètres!$A$1:$I$89,3,0)*VLOOKUP('Données projet'!$B$9,Paramètres!$A$1:$I$89,5,0)</f>
        <v>2.7193891583010558E-13</v>
      </c>
      <c r="P137" s="13">
        <f t="shared" si="141"/>
        <v>3.6362267729089988E-12</v>
      </c>
      <c r="Q137" s="20">
        <f t="shared" si="108"/>
        <v>6.8067219078872727E-12</v>
      </c>
      <c r="R137" s="59">
        <f t="shared" si="109"/>
        <v>293.33333333334014</v>
      </c>
      <c r="S137" s="59">
        <f ca="1">AVERAGE(OFFSET($R$3,0,0,'Données projet'!$E$9+1,1))-AVERAGE(OFFSET($H$3,0,0,'Données projet'!$E$9+1,1))</f>
        <v>252.28378247570731</v>
      </c>
      <c r="T137" s="59">
        <f t="shared" si="142"/>
        <v>263.50418595307343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3.7431369595831896</v>
      </c>
      <c r="AA137" s="21">
        <f>EXP(-LN(2)/25)*AA136+(1-EXP(-LN(2)/25))/(LN(2)/25)*Calculateur!V137*Calculateur!X137*VLOOKUP('Données projet'!$B$9,Paramètres!$A$1:$I$89,3,0)*0.475*44/12</f>
        <v>0</v>
      </c>
      <c r="AB137" s="21">
        <f>EXP(-LN(2)/2)*AB136+(1-EXP(-LN(2)/2))/(LN(2)/2)*V137*Y137*VLOOKUP('Données projet'!$B$9,Paramètres!$A$1:$I$89,3,0)*0.475*44/12</f>
        <v>8.9619344353579851E-15</v>
      </c>
      <c r="AC137" s="22">
        <f t="shared" si="111"/>
        <v>3.7431369595831985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3.8</v>
      </c>
      <c r="AI137" s="13">
        <f>IF('Données projet'!$A$62&gt;35,AI136+AH137-AQ136,IF(A137&lt;'Données projet'!$A$62,$AF$205^A137,IF(A137='Données projet'!$A$62,'Données projet'!$B$62,AI136+AH137-AQ136)))</f>
        <v>339.19999999999993</v>
      </c>
      <c r="AJ137" s="13">
        <f>AI137*VLOOKUP('Données projet'!$B$10,Paramètres!$A$1:$I$89,3,0)*VLOOKUP('Données projet'!$B$10,Paramètres!$A$1:$I$89,5,0)</f>
        <v>285.74207999999999</v>
      </c>
      <c r="AK137" s="13">
        <f t="shared" si="143"/>
        <v>68.179038073144469</v>
      </c>
      <c r="AL137" s="20">
        <f t="shared" si="112"/>
        <v>616.41261397739322</v>
      </c>
      <c r="AM137" s="59">
        <f t="shared" si="113"/>
        <v>909.74594731072648</v>
      </c>
      <c r="AN137" s="59">
        <f ca="1">AVERAGE(OFFSET($AM$3,0,0,'Données projet'!$E$10+1,1))-AVERAGE(OFFSET($H$3,0,0,'Données projet'!$E$10+1,1))</f>
        <v>382.67703499770795</v>
      </c>
      <c r="AO137" s="59">
        <f t="shared" si="144"/>
        <v>237.98926636458219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48.917669779552035</v>
      </c>
      <c r="AV137" s="21">
        <f>EXP(-LN(2)/25)*AV136+(1-EXP(-LN(2)/25))/(LN(2)/25)*Calculateur!AQ137*Calculateur!AS137*VLOOKUP('Données projet'!$B$10,Paramètres!$A$1:$I$89,3,0)*0.475*44/12</f>
        <v>0</v>
      </c>
      <c r="AW137" s="21">
        <f>EXP(-LN(2)/2)*AW136+(1-EXP(-LN(2)/2))/(LN(2)/2)*AQ137*AT137*VLOOKUP('Données projet'!$B$10,Paramètres!$A$1:$I$89,3,0)*0.475*44/12</f>
        <v>0</v>
      </c>
      <c r="AX137" s="21">
        <f t="shared" si="114"/>
        <v>48.917669779552035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25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73.710000000000051</v>
      </c>
      <c r="D138" s="11">
        <f t="shared" si="140"/>
        <v>20.591993942534774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727.94521639851439</v>
      </c>
      <c r="H138" s="67">
        <f t="shared" si="110"/>
        <v>457.57597278324812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4.5474735088646412E-13</v>
      </c>
      <c r="O138" s="13">
        <f>N138*VLOOKUP('Données projet'!$B$9,Paramètres!$A$1:$I$89,3,0)*VLOOKUP('Données projet'!$B$9,Paramètres!$A$1:$I$89,5,0)</f>
        <v>2.7193891583010558E-13</v>
      </c>
      <c r="P138" s="13">
        <f t="shared" si="141"/>
        <v>3.6362267729089988E-12</v>
      </c>
      <c r="Q138" s="20">
        <f t="shared" si="108"/>
        <v>6.8067219078872727E-12</v>
      </c>
      <c r="R138" s="59">
        <f t="shared" si="109"/>
        <v>293.33333333334014</v>
      </c>
      <c r="S138" s="59">
        <f ca="1">AVERAGE(OFFSET($R$3,0,0,'Données projet'!$E$9+1,1))-AVERAGE(OFFSET($H$3,0,0,'Données projet'!$E$9+1,1))</f>
        <v>252.28378247570731</v>
      </c>
      <c r="T138" s="59">
        <f t="shared" si="142"/>
        <v>263.50418595307343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3.6697363268938723</v>
      </c>
      <c r="AA138" s="21">
        <f>EXP(-LN(2)/25)*AA137+(1-EXP(-LN(2)/25))/(LN(2)/25)*Calculateur!V138*Calculateur!X138*VLOOKUP('Données projet'!$B$9,Paramètres!$A$1:$I$89,3,0)*0.475*44/12</f>
        <v>0</v>
      </c>
      <c r="AB138" s="21">
        <f>EXP(-LN(2)/2)*AB137+(1-EXP(-LN(2)/2))/(LN(2)/2)*V138*Y138*VLOOKUP('Données projet'!$B$9,Paramètres!$A$1:$I$89,3,0)*0.475*44/12</f>
        <v>6.3370446117908642E-15</v>
      </c>
      <c r="AC138" s="22">
        <f t="shared" si="111"/>
        <v>3.6697363268938785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3.8</v>
      </c>
      <c r="AI138" s="13">
        <f>IF('Données projet'!$A$62&gt;35,AI137+AH138-AQ137,IF(A138&lt;'Données projet'!$A$62,$AF$205^A138,IF(A138='Données projet'!$A$62,'Données projet'!$B$62,AI137+AH138-AQ137)))</f>
        <v>342.99999999999994</v>
      </c>
      <c r="AJ138" s="13">
        <f>AI138*VLOOKUP('Données projet'!$B$10,Paramètres!$A$1:$I$89,3,0)*VLOOKUP('Données projet'!$B$10,Paramètres!$A$1:$I$89,5,0)</f>
        <v>288.94319999999999</v>
      </c>
      <c r="AK138" s="13">
        <f t="shared" si="143"/>
        <v>68.853491941116729</v>
      </c>
      <c r="AL138" s="20">
        <f t="shared" si="112"/>
        <v>623.16257179744491</v>
      </c>
      <c r="AM138" s="59">
        <f t="shared" si="113"/>
        <v>916.49590513077828</v>
      </c>
      <c r="AN138" s="59">
        <f ca="1">AVERAGE(OFFSET($AM$3,0,0,'Données projet'!$E$10+1,1))-AVERAGE(OFFSET($H$3,0,0,'Données projet'!$E$10+1,1))</f>
        <v>382.67703499770795</v>
      </c>
      <c r="AO138" s="59">
        <f t="shared" si="144"/>
        <v>237.98926636458219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47.958424112007442</v>
      </c>
      <c r="AV138" s="21">
        <f>EXP(-LN(2)/25)*AV137+(1-EXP(-LN(2)/25))/(LN(2)/25)*Calculateur!AQ138*Calculateur!AS138*VLOOKUP('Données projet'!$B$10,Paramètres!$A$1:$I$89,3,0)*0.475*44/12</f>
        <v>0</v>
      </c>
      <c r="AW138" s="21">
        <f>EXP(-LN(2)/2)*AW137+(1-EXP(-LN(2)/2))/(LN(2)/2)*AQ138*AT138*VLOOKUP('Données projet'!$B$10,Paramètres!$A$1:$I$89,3,0)*0.475*44/12</f>
        <v>0</v>
      </c>
      <c r="AX138" s="21">
        <f t="shared" si="114"/>
        <v>47.958424112007442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25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74.256000000000057</v>
      </c>
      <c r="D139" s="11">
        <f t="shared" si="140"/>
        <v>20.726714411291841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733.19990071874452</v>
      </c>
      <c r="H139" s="67">
        <f t="shared" si="110"/>
        <v>458.76156093300006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4.5474735088646412E-13</v>
      </c>
      <c r="O139" s="13">
        <f>N139*VLOOKUP('Données projet'!$B$9,Paramètres!$A$1:$I$89,3,0)*VLOOKUP('Données projet'!$B$9,Paramètres!$A$1:$I$89,5,0)</f>
        <v>2.7193891583010558E-13</v>
      </c>
      <c r="P139" s="13">
        <f t="shared" si="141"/>
        <v>3.6362267729089988E-12</v>
      </c>
      <c r="Q139" s="20">
        <f t="shared" si="108"/>
        <v>6.8067219078872727E-12</v>
      </c>
      <c r="R139" s="59">
        <f t="shared" si="109"/>
        <v>293.33333333334014</v>
      </c>
      <c r="S139" s="59">
        <f ca="1">AVERAGE(OFFSET($R$3,0,0,'Données projet'!$E$9+1,1))-AVERAGE(OFFSET($H$3,0,0,'Données projet'!$E$9+1,1))</f>
        <v>252.28378247570731</v>
      </c>
      <c r="T139" s="59">
        <f t="shared" si="142"/>
        <v>263.50418595307343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3.5977750358416274</v>
      </c>
      <c r="AA139" s="21">
        <f>EXP(-LN(2)/25)*AA138+(1-EXP(-LN(2)/25))/(LN(2)/25)*Calculateur!V139*Calculateur!X139*VLOOKUP('Données projet'!$B$9,Paramètres!$A$1:$I$89,3,0)*0.475*44/12</f>
        <v>0</v>
      </c>
      <c r="AB139" s="21">
        <f>EXP(-LN(2)/2)*AB138+(1-EXP(-LN(2)/2))/(LN(2)/2)*V139*Y139*VLOOKUP('Données projet'!$B$9,Paramètres!$A$1:$I$89,3,0)*0.475*44/12</f>
        <v>4.4809672176789926E-15</v>
      </c>
      <c r="AC139" s="22">
        <f t="shared" si="111"/>
        <v>3.5977750358416318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3.8</v>
      </c>
      <c r="AI139" s="13">
        <f>IF('Données projet'!$A$62&gt;35,AI138+AH139-AQ138,IF(A139&lt;'Données projet'!$A$62,$AF$205^A139,IF(A139='Données projet'!$A$62,'Données projet'!$B$62,AI138+AH139-AQ138)))</f>
        <v>346.79999999999995</v>
      </c>
      <c r="AJ139" s="13">
        <f>AI139*VLOOKUP('Données projet'!$B$10,Paramètres!$A$1:$I$89,3,0)*VLOOKUP('Données projet'!$B$10,Paramètres!$A$1:$I$89,5,0)</f>
        <v>292.14431999999999</v>
      </c>
      <c r="AK139" s="13">
        <f t="shared" si="143"/>
        <v>69.527076600303857</v>
      </c>
      <c r="AL139" s="20">
        <f t="shared" si="112"/>
        <v>629.9110157455292</v>
      </c>
      <c r="AM139" s="59">
        <f t="shared" si="113"/>
        <v>923.24434907886257</v>
      </c>
      <c r="AN139" s="59">
        <f ca="1">AVERAGE(OFFSET($AM$3,0,0,'Données projet'!$E$10+1,1))-AVERAGE(OFFSET($H$3,0,0,'Données projet'!$E$10+1,1))</f>
        <v>382.67703499770795</v>
      </c>
      <c r="AO139" s="59">
        <f t="shared" si="144"/>
        <v>237.98926636458219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47.017988666921312</v>
      </c>
      <c r="AV139" s="21">
        <f>EXP(-LN(2)/25)*AV138+(1-EXP(-LN(2)/25))/(LN(2)/25)*Calculateur!AQ139*Calculateur!AS139*VLOOKUP('Données projet'!$B$10,Paramètres!$A$1:$I$89,3,0)*0.475*44/12</f>
        <v>0</v>
      </c>
      <c r="AW139" s="21">
        <f>EXP(-LN(2)/2)*AW138+(1-EXP(-LN(2)/2))/(LN(2)/2)*AQ139*AT139*VLOOKUP('Données projet'!$B$10,Paramètres!$A$1:$I$89,3,0)*0.475*44/12</f>
        <v>0</v>
      </c>
      <c r="AX139" s="21">
        <f t="shared" si="114"/>
        <v>47.017988666921312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25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74.802000000000064</v>
      </c>
      <c r="D140" s="11">
        <f t="shared" si="140"/>
        <v>20.861319623408168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738.45369533858991</v>
      </c>
      <c r="H140" s="67">
        <f t="shared" si="110"/>
        <v>459.94694834410268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4.5474735088646412E-13</v>
      </c>
      <c r="O140" s="13">
        <f>N140*VLOOKUP('Données projet'!$B$9,Paramètres!$A$1:$I$89,3,0)*VLOOKUP('Données projet'!$B$9,Paramètres!$A$1:$I$89,5,0)</f>
        <v>2.7193891583010558E-13</v>
      </c>
      <c r="P140" s="13">
        <f t="shared" si="141"/>
        <v>3.6362267729089988E-12</v>
      </c>
      <c r="Q140" s="20">
        <f t="shared" si="108"/>
        <v>6.8067219078872727E-12</v>
      </c>
      <c r="R140" s="59">
        <f t="shared" si="109"/>
        <v>293.33333333334014</v>
      </c>
      <c r="S140" s="59">
        <f ca="1">AVERAGE(OFFSET($R$3,0,0,'Données projet'!$E$9+1,1))-AVERAGE(OFFSET($H$3,0,0,'Données projet'!$E$9+1,1))</f>
        <v>252.28378247570731</v>
      </c>
      <c r="T140" s="59">
        <f t="shared" si="142"/>
        <v>263.50418595307343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3.5272248618148634</v>
      </c>
      <c r="AA140" s="21">
        <f>EXP(-LN(2)/25)*AA139+(1-EXP(-LN(2)/25))/(LN(2)/25)*Calculateur!V140*Calculateur!X140*VLOOKUP('Données projet'!$B$9,Paramètres!$A$1:$I$89,3,0)*0.475*44/12</f>
        <v>0</v>
      </c>
      <c r="AB140" s="21">
        <f>EXP(-LN(2)/2)*AB139+(1-EXP(-LN(2)/2))/(LN(2)/2)*V140*Y140*VLOOKUP('Données projet'!$B$9,Paramètres!$A$1:$I$89,3,0)*0.475*44/12</f>
        <v>3.1685223058954321E-15</v>
      </c>
      <c r="AC140" s="22">
        <f t="shared" si="111"/>
        <v>3.5272248618148665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3.8</v>
      </c>
      <c r="AI140" s="13">
        <f>IF('Données projet'!$A$62&gt;35,AI139+AH140-AQ139,IF(A140&lt;'Données projet'!$A$62,$AF$205^A140,IF(A140='Données projet'!$A$62,'Données projet'!$B$62,AI139+AH140-AQ139)))</f>
        <v>350.59999999999997</v>
      </c>
      <c r="AJ140" s="13">
        <f>AI140*VLOOKUP('Données projet'!$B$10,Paramètres!$A$1:$I$89,3,0)*VLOOKUP('Données projet'!$B$10,Paramètres!$A$1:$I$89,5,0)</f>
        <v>295.34544</v>
      </c>
      <c r="AK140" s="13">
        <f t="shared" si="143"/>
        <v>70.199802677174929</v>
      </c>
      <c r="AL140" s="20">
        <f t="shared" si="112"/>
        <v>636.65796432941295</v>
      </c>
      <c r="AM140" s="59">
        <f t="shared" si="113"/>
        <v>929.99129766274632</v>
      </c>
      <c r="AN140" s="59">
        <f ca="1">AVERAGE(OFFSET($AM$3,0,0,'Données projet'!$E$10+1,1))-AVERAGE(OFFSET($H$3,0,0,'Données projet'!$E$10+1,1))</f>
        <v>382.67703499770795</v>
      </c>
      <c r="AO140" s="59">
        <f t="shared" si="144"/>
        <v>237.98926636458219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46.09599458730434</v>
      </c>
      <c r="AV140" s="21">
        <f>EXP(-LN(2)/25)*AV139+(1-EXP(-LN(2)/25))/(LN(2)/25)*Calculateur!AQ140*Calculateur!AS140*VLOOKUP('Données projet'!$B$10,Paramètres!$A$1:$I$89,3,0)*0.475*44/12</f>
        <v>0</v>
      </c>
      <c r="AW140" s="21">
        <f>EXP(-LN(2)/2)*AW139+(1-EXP(-LN(2)/2))/(LN(2)/2)*AQ140*AT140*VLOOKUP('Données projet'!$B$10,Paramètres!$A$1:$I$89,3,0)*0.475*44/12</f>
        <v>0</v>
      </c>
      <c r="AX140" s="21">
        <f t="shared" si="114"/>
        <v>46.09599458730434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25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75.34800000000007</v>
      </c>
      <c r="D141" s="11">
        <f t="shared" si="140"/>
        <v>20.995810517717057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743.70660750518482</v>
      </c>
      <c r="H141" s="67">
        <f t="shared" si="110"/>
        <v>461.13213665169064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4.5474735088646412E-13</v>
      </c>
      <c r="O141" s="13">
        <f>N141*VLOOKUP('Données projet'!$B$9,Paramètres!$A$1:$I$89,3,0)*VLOOKUP('Données projet'!$B$9,Paramètres!$A$1:$I$89,5,0)</f>
        <v>2.7193891583010558E-13</v>
      </c>
      <c r="P141" s="13">
        <f t="shared" si="141"/>
        <v>3.6362267729089988E-12</v>
      </c>
      <c r="Q141" s="20">
        <f t="shared" si="108"/>
        <v>6.8067219078872727E-12</v>
      </c>
      <c r="R141" s="59">
        <f t="shared" si="109"/>
        <v>293.33333333334014</v>
      </c>
      <c r="S141" s="59">
        <f ca="1">AVERAGE(OFFSET($R$3,0,0,'Données projet'!$E$9+1,1))-AVERAGE(OFFSET($H$3,0,0,'Données projet'!$E$9+1,1))</f>
        <v>252.28378247570731</v>
      </c>
      <c r="T141" s="59">
        <f t="shared" si="142"/>
        <v>263.50418595307343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3.458058133669407</v>
      </c>
      <c r="AA141" s="21">
        <f>EXP(-LN(2)/25)*AA140+(1-EXP(-LN(2)/25))/(LN(2)/25)*Calculateur!V141*Calculateur!X141*VLOOKUP('Données projet'!$B$9,Paramètres!$A$1:$I$89,3,0)*0.475*44/12</f>
        <v>0</v>
      </c>
      <c r="AB141" s="21">
        <f>EXP(-LN(2)/2)*AB140+(1-EXP(-LN(2)/2))/(LN(2)/2)*V141*Y141*VLOOKUP('Données projet'!$B$9,Paramètres!$A$1:$I$89,3,0)*0.475*44/12</f>
        <v>2.2404836088394963E-15</v>
      </c>
      <c r="AC141" s="22">
        <f t="shared" si="111"/>
        <v>3.4580581336694092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3.8</v>
      </c>
      <c r="AI141" s="13">
        <f>IF('Données projet'!$A$62&gt;35,AI140+AH141-AQ140,IF(A141&lt;'Données projet'!$A$62,$AF$205^A141,IF(A141='Données projet'!$A$62,'Données projet'!$B$62,AI140+AH141-AQ140)))</f>
        <v>354.4</v>
      </c>
      <c r="AJ141" s="13">
        <f>AI141*VLOOKUP('Données projet'!$B$10,Paramètres!$A$1:$I$89,3,0)*VLOOKUP('Données projet'!$B$10,Paramètres!$A$1:$I$89,5,0)</f>
        <v>298.54656</v>
      </c>
      <c r="AK141" s="13">
        <f t="shared" si="143"/>
        <v>70.871680554580649</v>
      </c>
      <c r="AL141" s="20">
        <f t="shared" si="112"/>
        <v>643.40343563256113</v>
      </c>
      <c r="AM141" s="59">
        <f t="shared" si="113"/>
        <v>936.7367689658945</v>
      </c>
      <c r="AN141" s="59">
        <f ca="1">AVERAGE(OFFSET($AM$3,0,0,'Données projet'!$E$10+1,1))-AVERAGE(OFFSET($H$3,0,0,'Données projet'!$E$10+1,1))</f>
        <v>382.67703499770795</v>
      </c>
      <c r="AO141" s="59">
        <f t="shared" si="144"/>
        <v>237.98926636458219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45.1920802492278</v>
      </c>
      <c r="AV141" s="21">
        <f>EXP(-LN(2)/25)*AV140+(1-EXP(-LN(2)/25))/(LN(2)/25)*Calculateur!AQ141*Calculateur!AS141*VLOOKUP('Données projet'!$B$10,Paramètres!$A$1:$I$89,3,0)*0.475*44/12</f>
        <v>0</v>
      </c>
      <c r="AW141" s="21">
        <f>EXP(-LN(2)/2)*AW140+(1-EXP(-LN(2)/2))/(LN(2)/2)*AQ141*AT141*VLOOKUP('Données projet'!$B$10,Paramètres!$A$1:$I$89,3,0)*0.475*44/12</f>
        <v>0</v>
      </c>
      <c r="AX141" s="21">
        <f t="shared" si="114"/>
        <v>45.1920802492278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25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75.894000000000077</v>
      </c>
      <c r="D142" s="11">
        <f t="shared" si="140"/>
        <v>21.130188018659304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748.9586443545636</v>
      </c>
      <c r="H142" s="67">
        <f t="shared" si="110"/>
        <v>462.31712746583173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4.5474735088646412E-13</v>
      </c>
      <c r="O142" s="13">
        <f>N142*VLOOKUP('Données projet'!$B$9,Paramètres!$A$1:$I$89,3,0)*VLOOKUP('Données projet'!$B$9,Paramètres!$A$1:$I$89,5,0)</f>
        <v>2.7193891583010558E-13</v>
      </c>
      <c r="P142" s="13">
        <f t="shared" si="141"/>
        <v>3.6362267729089988E-12</v>
      </c>
      <c r="Q142" s="20">
        <f t="shared" si="108"/>
        <v>6.8067219078872727E-12</v>
      </c>
      <c r="R142" s="59">
        <f t="shared" si="109"/>
        <v>293.33333333334014</v>
      </c>
      <c r="S142" s="59">
        <f ca="1">AVERAGE(OFFSET($R$3,0,0,'Données projet'!$E$9+1,1))-AVERAGE(OFFSET($H$3,0,0,'Données projet'!$E$9+1,1))</f>
        <v>252.28378247570731</v>
      </c>
      <c r="T142" s="59">
        <f t="shared" si="142"/>
        <v>263.50418595307343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3.3902477228753445</v>
      </c>
      <c r="AA142" s="21">
        <f>EXP(-LN(2)/25)*AA141+(1-EXP(-LN(2)/25))/(LN(2)/25)*Calculateur!V142*Calculateur!X142*VLOOKUP('Données projet'!$B$9,Paramètres!$A$1:$I$89,3,0)*0.475*44/12</f>
        <v>0</v>
      </c>
      <c r="AB142" s="21">
        <f>EXP(-LN(2)/2)*AB141+(1-EXP(-LN(2)/2))/(LN(2)/2)*V142*Y142*VLOOKUP('Données projet'!$B$9,Paramètres!$A$1:$I$89,3,0)*0.475*44/12</f>
        <v>1.5842611529477161E-15</v>
      </c>
      <c r="AC142" s="22">
        <f t="shared" si="111"/>
        <v>3.3902477228753463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3.8</v>
      </c>
      <c r="AI142" s="13">
        <f>IF('Données projet'!$A$62&gt;35,AI141+AH142-AQ141,IF(A142&lt;'Données projet'!$A$62,$AF$205^A142,IF(A142='Données projet'!$A$62,'Données projet'!$B$62,AI141+AH142-AQ141)))</f>
        <v>358.2</v>
      </c>
      <c r="AJ142" s="13">
        <f>AI142*VLOOKUP('Données projet'!$B$10,Paramètres!$A$1:$I$89,3,0)*VLOOKUP('Données projet'!$B$10,Paramètres!$A$1:$I$89,5,0)</f>
        <v>301.74768</v>
      </c>
      <c r="AK142" s="13">
        <f t="shared" si="143"/>
        <v>71.542720379889786</v>
      </c>
      <c r="AL142" s="20">
        <f t="shared" si="112"/>
        <v>650.14744732830798</v>
      </c>
      <c r="AM142" s="59">
        <f t="shared" si="113"/>
        <v>943.48078066164135</v>
      </c>
      <c r="AN142" s="59">
        <f ca="1">AVERAGE(OFFSET($AM$3,0,0,'Données projet'!$E$10+1,1))-AVERAGE(OFFSET($H$3,0,0,'Données projet'!$E$10+1,1))</f>
        <v>382.67703499770795</v>
      </c>
      <c r="AO142" s="59">
        <f t="shared" si="144"/>
        <v>237.98926636458219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44.305891119987635</v>
      </c>
      <c r="AV142" s="21">
        <f>EXP(-LN(2)/25)*AV141+(1-EXP(-LN(2)/25))/(LN(2)/25)*Calculateur!AQ142*Calculateur!AS142*VLOOKUP('Données projet'!$B$10,Paramètres!$A$1:$I$89,3,0)*0.475*44/12</f>
        <v>0</v>
      </c>
      <c r="AW142" s="21">
        <f>EXP(-LN(2)/2)*AW141+(1-EXP(-LN(2)/2))/(LN(2)/2)*AQ142*AT142*VLOOKUP('Données projet'!$B$10,Paramètres!$A$1:$I$89,3,0)*0.475*44/12</f>
        <v>0</v>
      </c>
      <c r="AX142" s="21">
        <f t="shared" si="114"/>
        <v>44.305891119987635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25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76.440000000000083</v>
      </c>
      <c r="D143" s="11">
        <f t="shared" si="140"/>
        <v>21.264453036605797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754.20981291415058</v>
      </c>
      <c r="H143" s="67">
        <f t="shared" si="110"/>
        <v>463.50192237208853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4.5474735088646412E-13</v>
      </c>
      <c r="O143" s="13">
        <f>N143*VLOOKUP('Données projet'!$B$9,Paramètres!$A$1:$I$89,3,0)*VLOOKUP('Données projet'!$B$9,Paramètres!$A$1:$I$89,5,0)</f>
        <v>2.7193891583010558E-13</v>
      </c>
      <c r="P143" s="13">
        <f t="shared" si="141"/>
        <v>3.6362267729089988E-12</v>
      </c>
      <c r="Q143" s="20">
        <f t="shared" si="108"/>
        <v>6.8067219078872727E-12</v>
      </c>
      <c r="R143" s="59">
        <f t="shared" si="109"/>
        <v>293.33333333334014</v>
      </c>
      <c r="S143" s="59">
        <f ca="1">AVERAGE(OFFSET($R$3,0,0,'Données projet'!$E$9+1,1))-AVERAGE(OFFSET($H$3,0,0,'Données projet'!$E$9+1,1))</f>
        <v>252.28378247570731</v>
      </c>
      <c r="T143" s="59">
        <f t="shared" si="142"/>
        <v>263.50418595307343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3.3237670328766868</v>
      </c>
      <c r="AA143" s="21">
        <f>EXP(-LN(2)/25)*AA142+(1-EXP(-LN(2)/25))/(LN(2)/25)*Calculateur!V143*Calculateur!X143*VLOOKUP('Données projet'!$B$9,Paramètres!$A$1:$I$89,3,0)*0.475*44/12</f>
        <v>0</v>
      </c>
      <c r="AB143" s="21">
        <f>EXP(-LN(2)/2)*AB142+(1-EXP(-LN(2)/2))/(LN(2)/2)*V143*Y143*VLOOKUP('Données projet'!$B$9,Paramètres!$A$1:$I$89,3,0)*0.475*44/12</f>
        <v>1.1202418044197481E-15</v>
      </c>
      <c r="AC143" s="22">
        <f t="shared" si="111"/>
        <v>3.3237670328766882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>
        <f>VLOOKUP(A143,'Données projet'!$A$61:$I$81,2,0)</f>
        <v>362</v>
      </c>
      <c r="AG143" s="12">
        <f>VLOOKUP(A143,'Données projet'!$A$61:$I$81,9,0)</f>
        <v>3.8</v>
      </c>
      <c r="AH143" s="12">
        <f t="array" ref="AH143">INDEX(AG:AG,MIN(IF(ISNUMBER(AG143:AG339),ROW(AG143:AG339),"")))</f>
        <v>3.8</v>
      </c>
      <c r="AI143" s="13">
        <f>IF('Données projet'!$A$62&gt;35,AI142+AH143-AQ142,IF(A143&lt;'Données projet'!$A$62,$AF$205^A143,IF(A143='Données projet'!$A$62,'Données projet'!$B$62,AI142+AH143-AQ142)))</f>
        <v>362</v>
      </c>
      <c r="AJ143" s="13">
        <f>AI143*VLOOKUP('Données projet'!$B$10,Paramètres!$A$1:$I$89,3,0)*VLOOKUP('Données projet'!$B$10,Paramètres!$A$1:$I$89,5,0)</f>
        <v>304.94880000000006</v>
      </c>
      <c r="AK143" s="13">
        <f t="shared" si="143"/>
        <v>72.212932072769945</v>
      </c>
      <c r="AL143" s="20">
        <f t="shared" si="112"/>
        <v>656.89001669340769</v>
      </c>
      <c r="AM143" s="59">
        <f t="shared" si="113"/>
        <v>950.22335002674095</v>
      </c>
      <c r="AN143" s="59">
        <f ca="1">AVERAGE(OFFSET($AM$3,0,0,'Données projet'!$E$10+1,1))-AVERAGE(OFFSET($H$3,0,0,'Données projet'!$E$10+1,1))</f>
        <v>382.67703499770795</v>
      </c>
      <c r="AO143" s="59">
        <f t="shared" si="144"/>
        <v>237.98926636458219</v>
      </c>
      <c r="AP143" s="15">
        <f>IF(ISNA(VLOOKUP(A143,'Données projet'!$A$61:$I$81,3,0)),0,VLOOKUP(A143,'Données projet'!$A$61:$I$81,3,0))</f>
        <v>13</v>
      </c>
      <c r="AQ143" s="15">
        <f>IF(ISNA(VLOOKUP(A143,'Données projet'!$A$61:$I$81,4,0)),0,VLOOKUP(A143,'Données projet'!$A$61:$I$81,4,0))</f>
        <v>41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43.437079619049868</v>
      </c>
      <c r="AV143" s="21">
        <f>EXP(-LN(2)/25)*AV142+(1-EXP(-LN(2)/25))/(LN(2)/25)*Calculateur!AQ143*Calculateur!AS143*VLOOKUP('Données projet'!$B$10,Paramètres!$A$1:$I$89,3,0)*0.475*44/12</f>
        <v>0</v>
      </c>
      <c r="AW143" s="21">
        <f>EXP(-LN(2)/2)*AW142+(1-EXP(-LN(2)/2))/(LN(2)/2)*AQ143*AT143*VLOOKUP('Données projet'!$B$10,Paramètres!$A$1:$I$89,3,0)*0.475*44/12</f>
        <v>0</v>
      </c>
      <c r="AX143" s="21">
        <f t="shared" si="114"/>
        <v>43.437079619049868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25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76.986000000000089</v>
      </c>
      <c r="D144" s="11">
        <f t="shared" si="140"/>
        <v>21.39860646817062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759.46012010517745</v>
      </c>
      <c r="H144" s="67">
        <f t="shared" si="110"/>
        <v>464.68652293206395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4.5474735088646412E-13</v>
      </c>
      <c r="O144" s="13">
        <f>N144*VLOOKUP('Données projet'!$B$9,Paramètres!$A$1:$I$89,3,0)*VLOOKUP('Données projet'!$B$9,Paramètres!$A$1:$I$89,5,0)</f>
        <v>2.7193891583010558E-13</v>
      </c>
      <c r="P144" s="13">
        <f t="shared" si="141"/>
        <v>3.6362267729089988E-12</v>
      </c>
      <c r="Q144" s="20">
        <f t="shared" si="108"/>
        <v>6.8067219078872727E-12</v>
      </c>
      <c r="R144" s="59">
        <f t="shared" si="109"/>
        <v>293.33333333334014</v>
      </c>
      <c r="S144" s="59">
        <f ca="1">AVERAGE(OFFSET($R$3,0,0,'Données projet'!$E$9+1,1))-AVERAGE(OFFSET($H$3,0,0,'Données projet'!$E$9+1,1))</f>
        <v>252.28378247570731</v>
      </c>
      <c r="T144" s="59">
        <f t="shared" si="142"/>
        <v>263.50418595307343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3.2585899886596859</v>
      </c>
      <c r="AA144" s="21">
        <f>EXP(-LN(2)/25)*AA143+(1-EXP(-LN(2)/25))/(LN(2)/25)*Calculateur!V144*Calculateur!X144*VLOOKUP('Données projet'!$B$9,Paramètres!$A$1:$I$89,3,0)*0.475*44/12</f>
        <v>0</v>
      </c>
      <c r="AB144" s="21">
        <f>EXP(-LN(2)/2)*AB143+(1-EXP(-LN(2)/2))/(LN(2)/2)*V144*Y144*VLOOKUP('Données projet'!$B$9,Paramètres!$A$1:$I$89,3,0)*0.475*44/12</f>
        <v>7.9213057647385803E-16</v>
      </c>
      <c r="AC144" s="22">
        <f t="shared" si="111"/>
        <v>3.2585899886596867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3.4</v>
      </c>
      <c r="AI144" s="13">
        <f>IF('Données projet'!$A$62&gt;35,AI143+AH144-AQ143,IF(A144&lt;'Données projet'!$A$62,$AF$205^A144,IF(A144='Données projet'!$A$62,'Données projet'!$B$62,AI143+AH144-AQ143)))</f>
        <v>324.39999999999998</v>
      </c>
      <c r="AJ144" s="13">
        <f>AI144*VLOOKUP('Données projet'!$B$10,Paramètres!$A$1:$I$89,3,0)*VLOOKUP('Données projet'!$B$10,Paramètres!$A$1:$I$89,5,0)</f>
        <v>273.27456000000001</v>
      </c>
      <c r="AK144" s="13">
        <f t="shared" si="143"/>
        <v>65.543725237807038</v>
      </c>
      <c r="AL144" s="20">
        <f t="shared" si="112"/>
        <v>590.10851345584717</v>
      </c>
      <c r="AM144" s="59">
        <f t="shared" si="113"/>
        <v>883.44184678918054</v>
      </c>
      <c r="AN144" s="59">
        <f ca="1">AVERAGE(OFFSET($AM$3,0,0,'Données projet'!$E$10+1,1))-AVERAGE(OFFSET($H$3,0,0,'Données projet'!$E$10+1,1))</f>
        <v>382.67703499770795</v>
      </c>
      <c r="AO144" s="59">
        <f t="shared" si="144"/>
        <v>237.98926636458219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42.5853049817228</v>
      </c>
      <c r="AV144" s="21">
        <f>EXP(-LN(2)/25)*AV143+(1-EXP(-LN(2)/25))/(LN(2)/25)*Calculateur!AQ144*Calculateur!AS144*VLOOKUP('Données projet'!$B$10,Paramètres!$A$1:$I$89,3,0)*0.475*44/12</f>
        <v>0</v>
      </c>
      <c r="AW144" s="21">
        <f>EXP(-LN(2)/2)*AW143+(1-EXP(-LN(2)/2))/(LN(2)/2)*AQ144*AT144*VLOOKUP('Données projet'!$B$10,Paramètres!$A$1:$I$89,3,0)*0.475*44/12</f>
        <v>0</v>
      </c>
      <c r="AX144" s="21">
        <f t="shared" si="114"/>
        <v>42.5853049817228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25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77.532000000000096</v>
      </c>
      <c r="D145" s="11">
        <f t="shared" si="140"/>
        <v>21.532649196514924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764.70957274502825</v>
      </c>
      <c r="H145" s="67">
        <f t="shared" si="110"/>
        <v>465.87093068393028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4.5474735088646412E-13</v>
      </c>
      <c r="O145" s="13">
        <f>N145*VLOOKUP('Données projet'!$B$9,Paramètres!$A$1:$I$89,3,0)*VLOOKUP('Données projet'!$B$9,Paramètres!$A$1:$I$89,5,0)</f>
        <v>2.7193891583010558E-13</v>
      </c>
      <c r="P145" s="13">
        <f t="shared" si="141"/>
        <v>3.6362267729089988E-12</v>
      </c>
      <c r="Q145" s="20">
        <f t="shared" si="108"/>
        <v>6.8067219078872727E-12</v>
      </c>
      <c r="R145" s="59">
        <f t="shared" si="109"/>
        <v>293.33333333334014</v>
      </c>
      <c r="S145" s="59">
        <f ca="1">AVERAGE(OFFSET($R$3,0,0,'Données projet'!$E$9+1,1))-AVERAGE(OFFSET($H$3,0,0,'Données projet'!$E$9+1,1))</f>
        <v>252.28378247570731</v>
      </c>
      <c r="T145" s="59">
        <f t="shared" si="142"/>
        <v>263.50418595307343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3.1946910265257089</v>
      </c>
      <c r="AA145" s="21">
        <f>EXP(-LN(2)/25)*AA144+(1-EXP(-LN(2)/25))/(LN(2)/25)*Calculateur!V145*Calculateur!X145*VLOOKUP('Données projet'!$B$9,Paramètres!$A$1:$I$89,3,0)*0.475*44/12</f>
        <v>0</v>
      </c>
      <c r="AB145" s="21">
        <f>EXP(-LN(2)/2)*AB144+(1-EXP(-LN(2)/2))/(LN(2)/2)*V145*Y145*VLOOKUP('Données projet'!$B$9,Paramètres!$A$1:$I$89,3,0)*0.475*44/12</f>
        <v>5.6012090220987407E-16</v>
      </c>
      <c r="AC145" s="22">
        <f t="shared" si="111"/>
        <v>3.1946910265257094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3.4</v>
      </c>
      <c r="AI145" s="13">
        <f>IF('Données projet'!$A$62&gt;35,AI144+AH145-AQ144,IF(A145&lt;'Données projet'!$A$62,$AF$205^A145,IF(A145='Données projet'!$A$62,'Données projet'!$B$62,AI144+AH145-AQ144)))</f>
        <v>327.79999999999995</v>
      </c>
      <c r="AJ145" s="13">
        <f>AI145*VLOOKUP('Données projet'!$B$10,Paramètres!$A$1:$I$89,3,0)*VLOOKUP('Données projet'!$B$10,Paramètres!$A$1:$I$89,5,0)</f>
        <v>276.13872000000003</v>
      </c>
      <c r="AK145" s="13">
        <f t="shared" si="143"/>
        <v>66.150351116005879</v>
      </c>
      <c r="AL145" s="20">
        <f t="shared" si="112"/>
        <v>596.15346552704364</v>
      </c>
      <c r="AM145" s="59">
        <f t="shared" si="113"/>
        <v>889.48679886037689</v>
      </c>
      <c r="AN145" s="59">
        <f ca="1">AVERAGE(OFFSET($AM$3,0,0,'Données projet'!$E$10+1,1))-AVERAGE(OFFSET($H$3,0,0,'Données projet'!$E$10+1,1))</f>
        <v>382.67703499770795</v>
      </c>
      <c r="AO145" s="59">
        <f t="shared" si="144"/>
        <v>237.98926636458219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41.75023312550249</v>
      </c>
      <c r="AV145" s="21">
        <f>EXP(-LN(2)/25)*AV144+(1-EXP(-LN(2)/25))/(LN(2)/25)*Calculateur!AQ145*Calculateur!AS145*VLOOKUP('Données projet'!$B$10,Paramètres!$A$1:$I$89,3,0)*0.475*44/12</f>
        <v>0</v>
      </c>
      <c r="AW145" s="21">
        <f>EXP(-LN(2)/2)*AW144+(1-EXP(-LN(2)/2))/(LN(2)/2)*AQ145*AT145*VLOOKUP('Données projet'!$B$10,Paramètres!$A$1:$I$89,3,0)*0.475*44/12</f>
        <v>0</v>
      </c>
      <c r="AX145" s="21">
        <f t="shared" si="114"/>
        <v>41.75023312550249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25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78.078000000000102</v>
      </c>
      <c r="D146" s="11">
        <f t="shared" si="140"/>
        <v>21.666582091642102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769.95817754951884</v>
      </c>
      <c r="H146" s="67">
        <f t="shared" si="110"/>
        <v>467.0551471429435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4.5474735088646412E-13</v>
      </c>
      <c r="O146" s="13">
        <f>N146*VLOOKUP('Données projet'!$B$9,Paramètres!$A$1:$I$89,3,0)*VLOOKUP('Données projet'!$B$9,Paramètres!$A$1:$I$89,5,0)</f>
        <v>2.7193891583010558E-13</v>
      </c>
      <c r="P146" s="13">
        <f t="shared" si="141"/>
        <v>3.6362267729089988E-12</v>
      </c>
      <c r="Q146" s="20">
        <f t="shared" si="108"/>
        <v>6.8067219078872727E-12</v>
      </c>
      <c r="R146" s="59">
        <f t="shared" si="109"/>
        <v>293.33333333334014</v>
      </c>
      <c r="S146" s="59">
        <f ca="1">AVERAGE(OFFSET($R$3,0,0,'Données projet'!$E$9+1,1))-AVERAGE(OFFSET($H$3,0,0,'Données projet'!$E$9+1,1))</f>
        <v>252.28378247570731</v>
      </c>
      <c r="T146" s="59">
        <f t="shared" si="142"/>
        <v>263.50418595307343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3.1320450840646608</v>
      </c>
      <c r="AA146" s="21">
        <f>EXP(-LN(2)/25)*AA145+(1-EXP(-LN(2)/25))/(LN(2)/25)*Calculateur!V146*Calculateur!X146*VLOOKUP('Données projet'!$B$9,Paramètres!$A$1:$I$89,3,0)*0.475*44/12</f>
        <v>0</v>
      </c>
      <c r="AB146" s="21">
        <f>EXP(-LN(2)/2)*AB145+(1-EXP(-LN(2)/2))/(LN(2)/2)*V146*Y146*VLOOKUP('Données projet'!$B$9,Paramètres!$A$1:$I$89,3,0)*0.475*44/12</f>
        <v>3.9606528823692901E-16</v>
      </c>
      <c r="AC146" s="22">
        <f t="shared" si="111"/>
        <v>3.1320450840646612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3.4</v>
      </c>
      <c r="AI146" s="13">
        <f>IF('Données projet'!$A$62&gt;35,AI145+AH146-AQ145,IF(A146&lt;'Données projet'!$A$62,$AF$205^A146,IF(A146='Données projet'!$A$62,'Données projet'!$B$62,AI145+AH146-AQ145)))</f>
        <v>331.19999999999993</v>
      </c>
      <c r="AJ146" s="13">
        <f>AI146*VLOOKUP('Données projet'!$B$10,Paramètres!$A$1:$I$89,3,0)*VLOOKUP('Données projet'!$B$10,Paramètres!$A$1:$I$89,5,0)</f>
        <v>279.00288</v>
      </c>
      <c r="AK146" s="13">
        <f t="shared" si="143"/>
        <v>66.756245029775258</v>
      </c>
      <c r="AL146" s="20">
        <f t="shared" si="112"/>
        <v>602.19714276019192</v>
      </c>
      <c r="AM146" s="59">
        <f t="shared" si="113"/>
        <v>895.53047609352529</v>
      </c>
      <c r="AN146" s="59">
        <f ca="1">AVERAGE(OFFSET($AM$3,0,0,'Données projet'!$E$10+1,1))-AVERAGE(OFFSET($H$3,0,0,'Données projet'!$E$10+1,1))</f>
        <v>382.67703499770795</v>
      </c>
      <c r="AO146" s="59">
        <f t="shared" si="144"/>
        <v>237.98926636458219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40.93153651903912</v>
      </c>
      <c r="AV146" s="21">
        <f>EXP(-LN(2)/25)*AV145+(1-EXP(-LN(2)/25))/(LN(2)/25)*Calculateur!AQ146*Calculateur!AS146*VLOOKUP('Données projet'!$B$10,Paramètres!$A$1:$I$89,3,0)*0.475*44/12</f>
        <v>0</v>
      </c>
      <c r="AW146" s="21">
        <f>EXP(-LN(2)/2)*AW145+(1-EXP(-LN(2)/2))/(LN(2)/2)*AQ146*AT146*VLOOKUP('Données projet'!$B$10,Paramètres!$A$1:$I$89,3,0)*0.475*44/12</f>
        <v>0</v>
      </c>
      <c r="AX146" s="21">
        <f t="shared" si="114"/>
        <v>40.93153651903912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25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78.624000000000109</v>
      </c>
      <c r="D147" s="11">
        <f t="shared" si="140"/>
        <v>21.800406010684483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775.20594113510913</v>
      </c>
      <c r="H147" s="67">
        <f t="shared" si="110"/>
        <v>468.23917380194229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4.5474735088646412E-13</v>
      </c>
      <c r="O147" s="13">
        <f>N147*VLOOKUP('Données projet'!$B$9,Paramètres!$A$1:$I$89,3,0)*VLOOKUP('Données projet'!$B$9,Paramètres!$A$1:$I$89,5,0)</f>
        <v>2.7193891583010558E-13</v>
      </c>
      <c r="P147" s="13">
        <f t="shared" si="141"/>
        <v>3.6362267729089988E-12</v>
      </c>
      <c r="Q147" s="20">
        <f t="shared" si="108"/>
        <v>6.8067219078872727E-12</v>
      </c>
      <c r="R147" s="59">
        <f t="shared" si="109"/>
        <v>293.33333333334014</v>
      </c>
      <c r="S147" s="59">
        <f ca="1">AVERAGE(OFFSET($R$3,0,0,'Données projet'!$E$9+1,1))-AVERAGE(OFFSET($H$3,0,0,'Données projet'!$E$9+1,1))</f>
        <v>252.28378247570731</v>
      </c>
      <c r="T147" s="59">
        <f t="shared" si="142"/>
        <v>263.50418595307343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3.0706275903250217</v>
      </c>
      <c r="AA147" s="21">
        <f>EXP(-LN(2)/25)*AA146+(1-EXP(-LN(2)/25))/(LN(2)/25)*Calculateur!V147*Calculateur!X147*VLOOKUP('Données projet'!$B$9,Paramètres!$A$1:$I$89,3,0)*0.475*44/12</f>
        <v>0</v>
      </c>
      <c r="AB147" s="21">
        <f>EXP(-LN(2)/2)*AB146+(1-EXP(-LN(2)/2))/(LN(2)/2)*V147*Y147*VLOOKUP('Données projet'!$B$9,Paramètres!$A$1:$I$89,3,0)*0.475*44/12</f>
        <v>2.8006045110493704E-16</v>
      </c>
      <c r="AC147" s="22">
        <f t="shared" si="111"/>
        <v>3.0706275903250222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3.4</v>
      </c>
      <c r="AI147" s="13">
        <f>IF('Données projet'!$A$62&gt;35,AI146+AH147-AQ146,IF(A147&lt;'Données projet'!$A$62,$AF$205^A147,IF(A147='Données projet'!$A$62,'Données projet'!$B$62,AI146+AH147-AQ146)))</f>
        <v>334.59999999999991</v>
      </c>
      <c r="AJ147" s="13">
        <f>AI147*VLOOKUP('Données projet'!$B$10,Paramètres!$A$1:$I$89,3,0)*VLOOKUP('Données projet'!$B$10,Paramètres!$A$1:$I$89,5,0)</f>
        <v>281.86703999999997</v>
      </c>
      <c r="AK147" s="13">
        <f t="shared" si="143"/>
        <v>67.361415363173109</v>
      </c>
      <c r="AL147" s="20">
        <f t="shared" si="112"/>
        <v>608.23955975752642</v>
      </c>
      <c r="AM147" s="59">
        <f t="shared" si="113"/>
        <v>901.57289309085968</v>
      </c>
      <c r="AN147" s="59">
        <f ca="1">AVERAGE(OFFSET($AM$3,0,0,'Données projet'!$E$10+1,1))-AVERAGE(OFFSET($H$3,0,0,'Données projet'!$E$10+1,1))</f>
        <v>382.67703499770795</v>
      </c>
      <c r="AO147" s="59">
        <f t="shared" si="144"/>
        <v>237.98926636458219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40.128894053672873</v>
      </c>
      <c r="AV147" s="21">
        <f>EXP(-LN(2)/25)*AV146+(1-EXP(-LN(2)/25))/(LN(2)/25)*Calculateur!AQ147*Calculateur!AS147*VLOOKUP('Données projet'!$B$10,Paramètres!$A$1:$I$89,3,0)*0.475*44/12</f>
        <v>0</v>
      </c>
      <c r="AW147" s="21">
        <f>EXP(-LN(2)/2)*AW146+(1-EXP(-LN(2)/2))/(LN(2)/2)*AQ147*AT147*VLOOKUP('Données projet'!$B$10,Paramètres!$A$1:$I$89,3,0)*0.475*44/12</f>
        <v>0</v>
      </c>
      <c r="AX147" s="21">
        <f t="shared" si="114"/>
        <v>40.128894053672873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25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79.170000000000115</v>
      </c>
      <c r="D148" s="11">
        <f t="shared" si="140"/>
        <v>21.934121798181632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780.45287002105215</v>
      </c>
      <c r="H148" s="67">
        <f t="shared" si="110"/>
        <v>469.42301213183316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4.5474735088646412E-13</v>
      </c>
      <c r="O148" s="13">
        <f>N148*VLOOKUP('Données projet'!$B$9,Paramètres!$A$1:$I$89,3,0)*VLOOKUP('Données projet'!$B$9,Paramètres!$A$1:$I$89,5,0)</f>
        <v>2.7193891583010558E-13</v>
      </c>
      <c r="P148" s="13">
        <f t="shared" si="141"/>
        <v>3.6362267729089988E-12</v>
      </c>
      <c r="Q148" s="20">
        <f t="shared" si="108"/>
        <v>6.8067219078872727E-12</v>
      </c>
      <c r="R148" s="59">
        <f t="shared" si="109"/>
        <v>293.33333333334014</v>
      </c>
      <c r="S148" s="59">
        <f ca="1">AVERAGE(OFFSET($R$3,0,0,'Données projet'!$E$9+1,1))-AVERAGE(OFFSET($H$3,0,0,'Données projet'!$E$9+1,1))</f>
        <v>252.28378247570731</v>
      </c>
      <c r="T148" s="59">
        <f t="shared" si="142"/>
        <v>263.50418595307343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3.0104144561766448</v>
      </c>
      <c r="AA148" s="21">
        <f>EXP(-LN(2)/25)*AA147+(1-EXP(-LN(2)/25))/(LN(2)/25)*Calculateur!V148*Calculateur!X148*VLOOKUP('Données projet'!$B$9,Paramètres!$A$1:$I$89,3,0)*0.475*44/12</f>
        <v>0</v>
      </c>
      <c r="AB148" s="21">
        <f>EXP(-LN(2)/2)*AB147+(1-EXP(-LN(2)/2))/(LN(2)/2)*V148*Y148*VLOOKUP('Données projet'!$B$9,Paramètres!$A$1:$I$89,3,0)*0.475*44/12</f>
        <v>1.9803264411846451E-16</v>
      </c>
      <c r="AC148" s="22">
        <f t="shared" si="111"/>
        <v>3.0104144561766448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3.4</v>
      </c>
      <c r="AI148" s="13">
        <f>IF('Données projet'!$A$62&gt;35,AI147+AH148-AQ147,IF(A148&lt;'Données projet'!$A$62,$AF$205^A148,IF(A148='Données projet'!$A$62,'Données projet'!$B$62,AI147+AH148-AQ147)))</f>
        <v>337.99999999999989</v>
      </c>
      <c r="AJ148" s="13">
        <f>AI148*VLOOKUP('Données projet'!$B$10,Paramètres!$A$1:$I$89,3,0)*VLOOKUP('Données projet'!$B$10,Paramètres!$A$1:$I$89,5,0)</f>
        <v>284.73119999999994</v>
      </c>
      <c r="AK148" s="13">
        <f t="shared" si="143"/>
        <v>67.965870320050954</v>
      </c>
      <c r="AL148" s="20">
        <f t="shared" si="112"/>
        <v>614.28073080742195</v>
      </c>
      <c r="AM148" s="59">
        <f t="shared" si="113"/>
        <v>907.61406414075532</v>
      </c>
      <c r="AN148" s="59">
        <f ca="1">AVERAGE(OFFSET($AM$3,0,0,'Données projet'!$E$10+1,1))-AVERAGE(OFFSET($H$3,0,0,'Données projet'!$E$10+1,1))</f>
        <v>382.67703499770795</v>
      </c>
      <c r="AO148" s="59">
        <f t="shared" si="144"/>
        <v>237.98926636458219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39.341990917488893</v>
      </c>
      <c r="AV148" s="21">
        <f>EXP(-LN(2)/25)*AV147+(1-EXP(-LN(2)/25))/(LN(2)/25)*Calculateur!AQ148*Calculateur!AS148*VLOOKUP('Données projet'!$B$10,Paramètres!$A$1:$I$89,3,0)*0.475*44/12</f>
        <v>0</v>
      </c>
      <c r="AW148" s="21">
        <f>EXP(-LN(2)/2)*AW147+(1-EXP(-LN(2)/2))/(LN(2)/2)*AQ148*AT148*VLOOKUP('Données projet'!$B$10,Paramètres!$A$1:$I$89,3,0)*0.475*44/12</f>
        <v>0</v>
      </c>
      <c r="AX148" s="21">
        <f t="shared" si="114"/>
        <v>39.341990917488893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25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79.716000000000122</v>
      </c>
      <c r="D149" s="11">
        <f t="shared" si="140"/>
        <v>22.067730286351065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785.69897063148289</v>
      </c>
      <c r="H149" s="67">
        <f t="shared" si="110"/>
        <v>470.60666358206163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4.5474735088646412E-13</v>
      </c>
      <c r="O149" s="13">
        <f>N149*VLOOKUP('Données projet'!$B$9,Paramètres!$A$1:$I$89,3,0)*VLOOKUP('Données projet'!$B$9,Paramètres!$A$1:$I$89,5,0)</f>
        <v>2.7193891583010558E-13</v>
      </c>
      <c r="P149" s="13">
        <f t="shared" si="141"/>
        <v>3.6362267729089988E-12</v>
      </c>
      <c r="Q149" s="20">
        <f t="shared" si="108"/>
        <v>6.8067219078872727E-12</v>
      </c>
      <c r="R149" s="59">
        <f t="shared" si="109"/>
        <v>293.33333333334014</v>
      </c>
      <c r="S149" s="59">
        <f ca="1">AVERAGE(OFFSET($R$3,0,0,'Données projet'!$E$9+1,1))-AVERAGE(OFFSET($H$3,0,0,'Données projet'!$E$9+1,1))</f>
        <v>252.28378247570731</v>
      </c>
      <c r="T149" s="59">
        <f t="shared" si="142"/>
        <v>263.50418595307343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2.9513820648625324</v>
      </c>
      <c r="AA149" s="21">
        <f>EXP(-LN(2)/25)*AA148+(1-EXP(-LN(2)/25))/(LN(2)/25)*Calculateur!V149*Calculateur!X149*VLOOKUP('Données projet'!$B$9,Paramètres!$A$1:$I$89,3,0)*0.475*44/12</f>
        <v>0</v>
      </c>
      <c r="AB149" s="21">
        <f>EXP(-LN(2)/2)*AB148+(1-EXP(-LN(2)/2))/(LN(2)/2)*V149*Y149*VLOOKUP('Données projet'!$B$9,Paramètres!$A$1:$I$89,3,0)*0.475*44/12</f>
        <v>1.4003022555246852E-16</v>
      </c>
      <c r="AC149" s="22">
        <f t="shared" si="111"/>
        <v>2.9513820648625324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3.4</v>
      </c>
      <c r="AI149" s="13">
        <f>IF('Données projet'!$A$62&gt;35,AI148+AH149-AQ148,IF(A149&lt;'Données projet'!$A$62,$AF$205^A149,IF(A149='Données projet'!$A$62,'Données projet'!$B$62,AI148+AH149-AQ148)))</f>
        <v>341.39999999999986</v>
      </c>
      <c r="AJ149" s="13">
        <f>AI149*VLOOKUP('Données projet'!$B$10,Paramètres!$A$1:$I$89,3,0)*VLOOKUP('Données projet'!$B$10,Paramètres!$A$1:$I$89,5,0)</f>
        <v>287.59535999999991</v>
      </c>
      <c r="AK149" s="13">
        <f t="shared" si="143"/>
        <v>68.569617929699987</v>
      </c>
      <c r="AL149" s="20">
        <f t="shared" si="112"/>
        <v>620.32066989422731</v>
      </c>
      <c r="AM149" s="59">
        <f t="shared" si="113"/>
        <v>913.65400322756068</v>
      </c>
      <c r="AN149" s="59">
        <f ca="1">AVERAGE(OFFSET($AM$3,0,0,'Données projet'!$E$10+1,1))-AVERAGE(OFFSET($H$3,0,0,'Données projet'!$E$10+1,1))</f>
        <v>382.67703499770795</v>
      </c>
      <c r="AO149" s="59">
        <f t="shared" si="144"/>
        <v>237.98926636458219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38.570518471841964</v>
      </c>
      <c r="AV149" s="21">
        <f>EXP(-LN(2)/25)*AV148+(1-EXP(-LN(2)/25))/(LN(2)/25)*Calculateur!AQ149*Calculateur!AS149*VLOOKUP('Données projet'!$B$10,Paramètres!$A$1:$I$89,3,0)*0.475*44/12</f>
        <v>0</v>
      </c>
      <c r="AW149" s="21">
        <f>EXP(-LN(2)/2)*AW148+(1-EXP(-LN(2)/2))/(LN(2)/2)*AQ149*AT149*VLOOKUP('Données projet'!$B$10,Paramètres!$A$1:$I$89,3,0)*0.475*44/12</f>
        <v>0</v>
      </c>
      <c r="AX149" s="21">
        <f t="shared" si="114"/>
        <v>38.570518471841964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25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80.262000000000128</v>
      </c>
      <c r="D150" s="11">
        <f t="shared" si="140"/>
        <v>22.201232295351069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790.94424929744775</v>
      </c>
      <c r="H150" s="67">
        <f t="shared" si="110"/>
        <v>471.79012958106995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4.5474735088646412E-13</v>
      </c>
      <c r="O150" s="13">
        <f>N150*VLOOKUP('Données projet'!$B$9,Paramètres!$A$1:$I$89,3,0)*VLOOKUP('Données projet'!$B$9,Paramètres!$A$1:$I$89,5,0)</f>
        <v>2.7193891583010558E-13</v>
      </c>
      <c r="P150" s="13">
        <f t="shared" si="141"/>
        <v>3.6362267729089988E-12</v>
      </c>
      <c r="Q150" s="20">
        <f t="shared" si="108"/>
        <v>6.8067219078872727E-12</v>
      </c>
      <c r="R150" s="59">
        <f t="shared" si="109"/>
        <v>293.33333333334014</v>
      </c>
      <c r="S150" s="59">
        <f ca="1">AVERAGE(OFFSET($R$3,0,0,'Données projet'!$E$9+1,1))-AVERAGE(OFFSET($H$3,0,0,'Données projet'!$E$9+1,1))</f>
        <v>252.28378247570731</v>
      </c>
      <c r="T150" s="59">
        <f t="shared" si="142"/>
        <v>263.50418595307343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2.893507262735886</v>
      </c>
      <c r="AA150" s="21">
        <f>EXP(-LN(2)/25)*AA149+(1-EXP(-LN(2)/25))/(LN(2)/25)*Calculateur!V150*Calculateur!X150*VLOOKUP('Données projet'!$B$9,Paramètres!$A$1:$I$89,3,0)*0.475*44/12</f>
        <v>0</v>
      </c>
      <c r="AB150" s="21">
        <f>EXP(-LN(2)/2)*AB149+(1-EXP(-LN(2)/2))/(LN(2)/2)*V150*Y150*VLOOKUP('Données projet'!$B$9,Paramètres!$A$1:$I$89,3,0)*0.475*44/12</f>
        <v>9.9016322059232253E-17</v>
      </c>
      <c r="AC150" s="22">
        <f t="shared" si="111"/>
        <v>2.893507262735886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3.4</v>
      </c>
      <c r="AI150" s="13">
        <f>IF('Données projet'!$A$62&gt;35,AI149+AH150-AQ149,IF(A150&lt;'Données projet'!$A$62,$AF$205^A150,IF(A150='Données projet'!$A$62,'Données projet'!$B$62,AI149+AH150-AQ149)))</f>
        <v>344.79999999999984</v>
      </c>
      <c r="AJ150" s="13">
        <f>AI150*VLOOKUP('Données projet'!$B$10,Paramètres!$A$1:$I$89,3,0)*VLOOKUP('Données projet'!$B$10,Paramètres!$A$1:$I$89,5,0)</f>
        <v>290.45951999999988</v>
      </c>
      <c r="AK150" s="13">
        <f t="shared" si="143"/>
        <v>69.172666052266209</v>
      </c>
      <c r="AL150" s="20">
        <f t="shared" si="112"/>
        <v>626.35939070769678</v>
      </c>
      <c r="AM150" s="59">
        <f t="shared" si="113"/>
        <v>919.69272404103003</v>
      </c>
      <c r="AN150" s="59">
        <f ca="1">AVERAGE(OFFSET($AM$3,0,0,'Données projet'!$E$10+1,1))-AVERAGE(OFFSET($H$3,0,0,'Données projet'!$E$10+1,1))</f>
        <v>382.67703499770795</v>
      </c>
      <c r="AO150" s="59">
        <f t="shared" si="144"/>
        <v>237.98926636458219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37.81417413030244</v>
      </c>
      <c r="AV150" s="21">
        <f>EXP(-LN(2)/25)*AV149+(1-EXP(-LN(2)/25))/(LN(2)/25)*Calculateur!AQ150*Calculateur!AS150*VLOOKUP('Données projet'!$B$10,Paramètres!$A$1:$I$89,3,0)*0.475*44/12</f>
        <v>0</v>
      </c>
      <c r="AW150" s="21">
        <f>EXP(-LN(2)/2)*AW149+(1-EXP(-LN(2)/2))/(LN(2)/2)*AQ150*AT150*VLOOKUP('Données projet'!$B$10,Paramètres!$A$1:$I$89,3,0)*0.475*44/12</f>
        <v>0</v>
      </c>
      <c r="AX150" s="21">
        <f t="shared" si="114"/>
        <v>37.81417413030244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25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80.808000000000135</v>
      </c>
      <c r="D151" s="11">
        <f t="shared" si="140"/>
        <v>22.334628633536237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796.18871225887733</v>
      </c>
      <c r="H151" s="67">
        <f t="shared" si="110"/>
        <v>472.9734115367425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4.5474735088646412E-13</v>
      </c>
      <c r="O151" s="13">
        <f>N151*VLOOKUP('Données projet'!$B$9,Paramètres!$A$1:$I$89,3,0)*VLOOKUP('Données projet'!$B$9,Paramètres!$A$1:$I$89,5,0)</f>
        <v>2.7193891583010558E-13</v>
      </c>
      <c r="P151" s="13">
        <f t="shared" si="141"/>
        <v>3.6362267729089988E-12</v>
      </c>
      <c r="Q151" s="20">
        <f t="shared" si="108"/>
        <v>6.8067219078872727E-12</v>
      </c>
      <c r="R151" s="59">
        <f t="shared" si="109"/>
        <v>293.33333333334014</v>
      </c>
      <c r="S151" s="59">
        <f ca="1">AVERAGE(OFFSET($R$3,0,0,'Données projet'!$E$9+1,1))-AVERAGE(OFFSET($H$3,0,0,'Données projet'!$E$9+1,1))</f>
        <v>252.28378247570731</v>
      </c>
      <c r="T151" s="59">
        <f t="shared" si="142"/>
        <v>263.50418595307343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2.8367673501787998</v>
      </c>
      <c r="AA151" s="21">
        <f>EXP(-LN(2)/25)*AA150+(1-EXP(-LN(2)/25))/(LN(2)/25)*Calculateur!V151*Calculateur!X151*VLOOKUP('Données projet'!$B$9,Paramètres!$A$1:$I$89,3,0)*0.475*44/12</f>
        <v>0</v>
      </c>
      <c r="AB151" s="21">
        <f>EXP(-LN(2)/2)*AB150+(1-EXP(-LN(2)/2))/(LN(2)/2)*V151*Y151*VLOOKUP('Données projet'!$B$9,Paramètres!$A$1:$I$89,3,0)*0.475*44/12</f>
        <v>7.0015112776234259E-17</v>
      </c>
      <c r="AC151" s="22">
        <f t="shared" si="111"/>
        <v>2.8367673501787998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3.4</v>
      </c>
      <c r="AI151" s="13">
        <f>IF('Données projet'!$A$62&gt;35,AI150+AH151-AQ150,IF(A151&lt;'Données projet'!$A$62,$AF$205^A151,IF(A151='Données projet'!$A$62,'Données projet'!$B$62,AI150+AH151-AQ150)))</f>
        <v>348.19999999999982</v>
      </c>
      <c r="AJ151" s="13">
        <f>AI151*VLOOKUP('Données projet'!$B$10,Paramètres!$A$1:$I$89,3,0)*VLOOKUP('Données projet'!$B$10,Paramètres!$A$1:$I$89,5,0)</f>
        <v>293.32367999999985</v>
      </c>
      <c r="AK151" s="13">
        <f t="shared" si="143"/>
        <v>69.775022383945227</v>
      </c>
      <c r="AL151" s="20">
        <f t="shared" si="112"/>
        <v>632.39690665203761</v>
      </c>
      <c r="AM151" s="59">
        <f t="shared" si="113"/>
        <v>925.73023998537087</v>
      </c>
      <c r="AN151" s="59">
        <f ca="1">AVERAGE(OFFSET($AM$3,0,0,'Données projet'!$E$10+1,1))-AVERAGE(OFFSET($H$3,0,0,'Données projet'!$E$10+1,1))</f>
        <v>382.67703499770795</v>
      </c>
      <c r="AO151" s="59">
        <f t="shared" si="144"/>
        <v>237.98926636458219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37.072661239976014</v>
      </c>
      <c r="AV151" s="21">
        <f>EXP(-LN(2)/25)*AV150+(1-EXP(-LN(2)/25))/(LN(2)/25)*Calculateur!AQ151*Calculateur!AS151*VLOOKUP('Données projet'!$B$10,Paramètres!$A$1:$I$89,3,0)*0.475*44/12</f>
        <v>0</v>
      </c>
      <c r="AW151" s="21">
        <f>EXP(-LN(2)/2)*AW150+(1-EXP(-LN(2)/2))/(LN(2)/2)*AQ151*AT151*VLOOKUP('Données projet'!$B$10,Paramètres!$A$1:$I$89,3,0)*0.475*44/12</f>
        <v>0</v>
      </c>
      <c r="AX151" s="21">
        <f t="shared" si="114"/>
        <v>37.072661239976014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25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81.354000000000141</v>
      </c>
      <c r="D152" s="11">
        <f t="shared" si="140"/>
        <v>22.467920097706067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801.4323656665041</v>
      </c>
      <c r="H152" s="67">
        <f t="shared" si="110"/>
        <v>474.15651083683827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4.5474735088646412E-13</v>
      </c>
      <c r="O152" s="13">
        <f>N152*VLOOKUP('Données projet'!$B$9,Paramètres!$A$1:$I$89,3,0)*VLOOKUP('Données projet'!$B$9,Paramètres!$A$1:$I$89,5,0)</f>
        <v>2.7193891583010558E-13</v>
      </c>
      <c r="P152" s="13">
        <f t="shared" si="141"/>
        <v>3.6362267729089988E-12</v>
      </c>
      <c r="Q152" s="20">
        <f t="shared" si="108"/>
        <v>6.8067219078872727E-12</v>
      </c>
      <c r="R152" s="59">
        <f t="shared" si="109"/>
        <v>293.33333333334014</v>
      </c>
      <c r="S152" s="59">
        <f ca="1">AVERAGE(OFFSET($R$3,0,0,'Données projet'!$E$9+1,1))-AVERAGE(OFFSET($H$3,0,0,'Données projet'!$E$9+1,1))</f>
        <v>252.28378247570731</v>
      </c>
      <c r="T152" s="59">
        <f t="shared" si="142"/>
        <v>263.50418595307343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2.7811400726990283</v>
      </c>
      <c r="AA152" s="21">
        <f>EXP(-LN(2)/25)*AA151+(1-EXP(-LN(2)/25))/(LN(2)/25)*Calculateur!V152*Calculateur!X152*VLOOKUP('Données projet'!$B$9,Paramètres!$A$1:$I$89,3,0)*0.475*44/12</f>
        <v>0</v>
      </c>
      <c r="AB152" s="21">
        <f>EXP(-LN(2)/2)*AB151+(1-EXP(-LN(2)/2))/(LN(2)/2)*V152*Y152*VLOOKUP('Données projet'!$B$9,Paramètres!$A$1:$I$89,3,0)*0.475*44/12</f>
        <v>4.9508161029616127E-17</v>
      </c>
      <c r="AC152" s="22">
        <f t="shared" si="111"/>
        <v>2.7811400726990283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3.4</v>
      </c>
      <c r="AI152" s="13">
        <f>IF('Données projet'!$A$62&gt;35,AI151+AH152-AQ151,IF(A152&lt;'Données projet'!$A$62,$AF$205^A152,IF(A152='Données projet'!$A$62,'Données projet'!$B$62,AI151+AH152-AQ151)))</f>
        <v>351.5999999999998</v>
      </c>
      <c r="AJ152" s="13">
        <f>AI152*VLOOKUP('Données projet'!$B$10,Paramètres!$A$1:$I$89,3,0)*VLOOKUP('Données projet'!$B$10,Paramètres!$A$1:$I$89,5,0)</f>
        <v>296.18783999999982</v>
      </c>
      <c r="AK152" s="13">
        <f t="shared" si="143"/>
        <v>70.37669446196935</v>
      </c>
      <c r="AL152" s="20">
        <f t="shared" si="112"/>
        <v>638.43323085459633</v>
      </c>
      <c r="AM152" s="59">
        <f t="shared" si="113"/>
        <v>931.76656418792959</v>
      </c>
      <c r="AN152" s="59">
        <f ca="1">AVERAGE(OFFSET($AM$3,0,0,'Données projet'!$E$10+1,1))-AVERAGE(OFFSET($H$3,0,0,'Données projet'!$E$10+1,1))</f>
        <v>382.67703499770795</v>
      </c>
      <c r="AO152" s="59">
        <f t="shared" si="144"/>
        <v>237.98926636458219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36.345688965150686</v>
      </c>
      <c r="AV152" s="21">
        <f>EXP(-LN(2)/25)*AV151+(1-EXP(-LN(2)/25))/(LN(2)/25)*Calculateur!AQ152*Calculateur!AS152*VLOOKUP('Données projet'!$B$10,Paramètres!$A$1:$I$89,3,0)*0.475*44/12</f>
        <v>0</v>
      </c>
      <c r="AW152" s="21">
        <f>EXP(-LN(2)/2)*AW151+(1-EXP(-LN(2)/2))/(LN(2)/2)*AQ152*AT152*VLOOKUP('Données projet'!$B$10,Paramètres!$A$1:$I$89,3,0)*0.475*44/12</f>
        <v>0</v>
      </c>
      <c r="AX152" s="21">
        <f t="shared" si="114"/>
        <v>36.345688965150686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25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81.900000000000148</v>
      </c>
      <c r="D153" s="11">
        <f t="shared" si="140"/>
        <v>22.601107473346371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806.67521558372755</v>
      </c>
      <c r="H153" s="67">
        <f t="shared" si="110"/>
        <v>475.33942884941183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4.5474735088646412E-13</v>
      </c>
      <c r="O153" s="13">
        <f>N153*VLOOKUP('Données projet'!$B$9,Paramètres!$A$1:$I$89,3,0)*VLOOKUP('Données projet'!$B$9,Paramètres!$A$1:$I$89,5,0)</f>
        <v>2.7193891583010558E-13</v>
      </c>
      <c r="P153" s="13">
        <f t="shared" si="141"/>
        <v>3.6362267729089988E-12</v>
      </c>
      <c r="Q153" s="20">
        <f t="shared" si="108"/>
        <v>6.8067219078872727E-12</v>
      </c>
      <c r="R153" s="59">
        <f t="shared" si="109"/>
        <v>293.33333333334014</v>
      </c>
      <c r="S153" s="59">
        <f ca="1">AVERAGE(OFFSET($R$3,0,0,'Données projet'!$E$9+1,1))-AVERAGE(OFFSET($H$3,0,0,'Données projet'!$E$9+1,1))</f>
        <v>252.28378247570731</v>
      </c>
      <c r="T153" s="59">
        <f t="shared" si="142"/>
        <v>263.50418595307343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2.7266036122013464</v>
      </c>
      <c r="AA153" s="21">
        <f>EXP(-LN(2)/25)*AA152+(1-EXP(-LN(2)/25))/(LN(2)/25)*Calculateur!V153*Calculateur!X153*VLOOKUP('Données projet'!$B$9,Paramètres!$A$1:$I$89,3,0)*0.475*44/12</f>
        <v>0</v>
      </c>
      <c r="AB153" s="21">
        <f>EXP(-LN(2)/2)*AB152+(1-EXP(-LN(2)/2))/(LN(2)/2)*V153*Y153*VLOOKUP('Données projet'!$B$9,Paramètres!$A$1:$I$89,3,0)*0.475*44/12</f>
        <v>3.5007556388117129E-17</v>
      </c>
      <c r="AC153" s="22">
        <f t="shared" si="111"/>
        <v>2.7266036122013464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>
        <f>VLOOKUP(A153,'Données projet'!$A$61:$I$81,2,0)</f>
        <v>355</v>
      </c>
      <c r="AG153" s="12">
        <f>VLOOKUP(A153,'Données projet'!$A$61:$I$81,9,0)</f>
        <v>3.4</v>
      </c>
      <c r="AH153" s="12">
        <f t="array" ref="AH153">INDEX(AG:AG,MIN(IF(ISNUMBER(AG153:AG349),ROW(AG153:AG349),"")))</f>
        <v>3.4</v>
      </c>
      <c r="AI153" s="13">
        <f>IF('Données projet'!$A$62&gt;35,AI152+AH153-AQ152,IF(A153&lt;'Données projet'!$A$62,$AF$205^A153,IF(A153='Données projet'!$A$62,'Données projet'!$B$62,AI152+AH153-AQ152)))</f>
        <v>354.99999999999977</v>
      </c>
      <c r="AJ153" s="13">
        <f>AI153*VLOOKUP('Données projet'!$B$10,Paramètres!$A$1:$I$89,3,0)*VLOOKUP('Données projet'!$B$10,Paramètres!$A$1:$I$89,5,0)</f>
        <v>299.05199999999985</v>
      </c>
      <c r="AK153" s="13">
        <f t="shared" si="143"/>
        <v>70.977689669395403</v>
      </c>
      <c r="AL153" s="20">
        <f t="shared" si="112"/>
        <v>644.46837617419669</v>
      </c>
      <c r="AM153" s="59">
        <f t="shared" si="113"/>
        <v>937.80170950752995</v>
      </c>
      <c r="AN153" s="59">
        <f ca="1">AVERAGE(OFFSET($AM$3,0,0,'Données projet'!$E$10+1,1))-AVERAGE(OFFSET($H$3,0,0,'Données projet'!$E$10+1,1))</f>
        <v>382.67703499770795</v>
      </c>
      <c r="AO153" s="59">
        <f t="shared" si="144"/>
        <v>237.98926636458219</v>
      </c>
      <c r="AP153" s="15">
        <f>IF(ISNA(VLOOKUP(A153,'Données projet'!$A$61:$I$81,3,0)),0,VLOOKUP(A153,'Données projet'!$A$61:$I$81,3,0))</f>
        <v>14</v>
      </c>
      <c r="AQ153" s="15">
        <f>IF(ISNA(VLOOKUP(A153,'Données projet'!$A$61:$I$81,4,0)),0,VLOOKUP(A153,'Données projet'!$A$61:$I$81,4,0))</f>
        <v>355</v>
      </c>
      <c r="AR153" s="16">
        <f>IF(ISNA(VLOOKUP(A153,'Données projet'!$A$61:$I$81,5,0)),0%,VLOOKUP(A153,'Données projet'!$A$61:$I$81,5,0)*VLOOKUP('Données projet'!$B$10,Paramètres!$A$1:$I$89,7,0))</f>
        <v>0.43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177.78801718746311</v>
      </c>
      <c r="AV153" s="21">
        <f>EXP(-LN(2)/25)*AV152+(1-EXP(-LN(2)/25))/(LN(2)/25)*Calculateur!AQ153*Calculateur!AS153*VLOOKUP('Données projet'!$B$10,Paramètres!$A$1:$I$89,3,0)*0.475*44/12</f>
        <v>0</v>
      </c>
      <c r="AW153" s="21">
        <f>EXP(-LN(2)/2)*AW152+(1-EXP(-LN(2)/2))/(LN(2)/2)*AQ153*AT153*VLOOKUP('Données projet'!$B$10,Paramètres!$A$1:$I$89,3,0)*0.475*44/12</f>
        <v>0</v>
      </c>
      <c r="AX153" s="21">
        <f t="shared" si="114"/>
        <v>177.78801718746311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25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82.446000000000154</v>
      </c>
      <c r="D154" s="11">
        <f t="shared" si="140"/>
        <v>22.734191534864422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811.91726798842831</v>
      </c>
      <c r="H154" s="67">
        <f t="shared" si="110"/>
        <v>476.52216692322241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4.5474735088646412E-13</v>
      </c>
      <c r="O154" s="13">
        <f>N154*VLOOKUP('Données projet'!$B$9,Paramètres!$A$1:$I$89,3,0)*VLOOKUP('Données projet'!$B$9,Paramètres!$A$1:$I$89,5,0)</f>
        <v>2.7193891583010558E-13</v>
      </c>
      <c r="P154" s="13">
        <f t="shared" si="141"/>
        <v>3.6362267729089988E-12</v>
      </c>
      <c r="Q154" s="20">
        <f t="shared" ref="Q154:Q203" si="162">(O154+P154)*0.475*44/12</f>
        <v>6.8067219078872727E-12</v>
      </c>
      <c r="R154" s="59">
        <f t="shared" si="109"/>
        <v>293.33333333334014</v>
      </c>
      <c r="S154" s="59">
        <f ca="1">AVERAGE(OFFSET($R$3,0,0,'Données projet'!$E$9+1,1))-AVERAGE(OFFSET($H$3,0,0,'Données projet'!$E$9+1,1))</f>
        <v>252.28378247570731</v>
      </c>
      <c r="T154" s="59">
        <f t="shared" si="142"/>
        <v>263.50418595307343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2.6731365784300674</v>
      </c>
      <c r="AA154" s="21">
        <f>EXP(-LN(2)/25)*AA153+(1-EXP(-LN(2)/25))/(LN(2)/25)*Calculateur!V154*Calculateur!X154*VLOOKUP('Données projet'!$B$9,Paramètres!$A$1:$I$89,3,0)*0.475*44/12</f>
        <v>0</v>
      </c>
      <c r="AB154" s="21">
        <f>EXP(-LN(2)/2)*AB153+(1-EXP(-LN(2)/2))/(LN(2)/2)*V154*Y154*VLOOKUP('Données projet'!$B$9,Paramètres!$A$1:$I$89,3,0)*0.475*44/12</f>
        <v>2.4754080514808063E-17</v>
      </c>
      <c r="AC154" s="22">
        <f t="shared" ref="AC154:AC203" si="163">SUM(Z154:AB154)</f>
        <v>2.6731365784300674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-2.2737367544323206E-13</v>
      </c>
      <c r="AJ154" s="13">
        <f>AI154*VLOOKUP('Données projet'!$B$10,Paramètres!$A$1:$I$89,3,0)*VLOOKUP('Données projet'!$B$10,Paramètres!$A$1:$I$89,5,0)</f>
        <v>-1.915395841933787E-13</v>
      </c>
      <c r="AK154" s="13" t="e">
        <f t="shared" ref="AK154:AK203" si="164">EXP(-1.0587+0.8836*LN(AJ154)+0.284)</f>
        <v>#NUM!</v>
      </c>
      <c r="AL154" s="20" t="e">
        <f t="shared" ref="AL154:AL203" si="165">(AJ154+AK154)*0.475*44/12</f>
        <v>#NUM!</v>
      </c>
      <c r="AM154" s="59" t="e">
        <f t="shared" si="113"/>
        <v>#NUM!</v>
      </c>
      <c r="AN154" s="59">
        <f ca="1">AVERAGE(OFFSET($AM$3,0,0,'Données projet'!$E$10+1,1))-AVERAGE(OFFSET($H$3,0,0,'Données projet'!$E$10+1,1))</f>
        <v>382.67703499770795</v>
      </c>
      <c r="AO154" s="59">
        <f t="shared" si="144"/>
        <v>237.98926636458219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174.30170261039987</v>
      </c>
      <c r="AV154" s="21">
        <f>EXP(-LN(2)/25)*AV153+(1-EXP(-LN(2)/25))/(LN(2)/25)*Calculateur!AQ154*Calculateur!AS154*VLOOKUP('Données projet'!$B$10,Paramètres!$A$1:$I$89,3,0)*0.475*44/12</f>
        <v>0</v>
      </c>
      <c r="AW154" s="21">
        <f>EXP(-LN(2)/2)*AW153+(1-EXP(-LN(2)/2))/(LN(2)/2)*AQ154*AT154*VLOOKUP('Données projet'!$B$10,Paramètres!$A$1:$I$89,3,0)*0.475*44/12</f>
        <v>0</v>
      </c>
      <c r="AX154" s="21">
        <f t="shared" ref="AX154:AX203" si="166">SUM(AU154:AW154)</f>
        <v>174.30170261039987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25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82.992000000000161</v>
      </c>
      <c r="D155" s="11">
        <f t="shared" si="140"/>
        <v>22.867173045817363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817.15852877473174</v>
      </c>
      <c r="H155" s="67">
        <f t="shared" si="110"/>
        <v>477.70472638813214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4.5474735088646412E-13</v>
      </c>
      <c r="O155" s="13">
        <f>N155*VLOOKUP('Données projet'!$B$9,Paramètres!$A$1:$I$89,3,0)*VLOOKUP('Données projet'!$B$9,Paramètres!$A$1:$I$89,5,0)</f>
        <v>2.7193891583010558E-13</v>
      </c>
      <c r="P155" s="13">
        <f t="shared" si="141"/>
        <v>3.6362267729089988E-12</v>
      </c>
      <c r="Q155" s="20">
        <f t="shared" si="162"/>
        <v>6.8067219078872727E-12</v>
      </c>
      <c r="R155" s="59">
        <f t="shared" si="109"/>
        <v>293.33333333334014</v>
      </c>
      <c r="S155" s="59">
        <f ca="1">AVERAGE(OFFSET($R$3,0,0,'Données projet'!$E$9+1,1))-AVERAGE(OFFSET($H$3,0,0,'Données projet'!$E$9+1,1))</f>
        <v>252.28378247570731</v>
      </c>
      <c r="T155" s="59">
        <f t="shared" si="142"/>
        <v>263.50418595307343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2.6207180005793727</v>
      </c>
      <c r="AA155" s="21">
        <f>EXP(-LN(2)/25)*AA154+(1-EXP(-LN(2)/25))/(LN(2)/25)*Calculateur!V155*Calculateur!X155*VLOOKUP('Données projet'!$B$9,Paramètres!$A$1:$I$89,3,0)*0.475*44/12</f>
        <v>0</v>
      </c>
      <c r="AB155" s="21">
        <f>EXP(-LN(2)/2)*AB154+(1-EXP(-LN(2)/2))/(LN(2)/2)*V155*Y155*VLOOKUP('Données projet'!$B$9,Paramètres!$A$1:$I$89,3,0)*0.475*44/12</f>
        <v>1.7503778194058565E-17</v>
      </c>
      <c r="AC155" s="22">
        <f t="shared" si="163"/>
        <v>2.6207180005793727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-2.2737367544323206E-13</v>
      </c>
      <c r="AJ155" s="13">
        <f>AI155*VLOOKUP('Données projet'!$B$10,Paramètres!$A$1:$I$89,3,0)*VLOOKUP('Données projet'!$B$10,Paramètres!$A$1:$I$89,5,0)</f>
        <v>-1.915395841933787E-13</v>
      </c>
      <c r="AK155" s="13" t="e">
        <f t="shared" si="164"/>
        <v>#NUM!</v>
      </c>
      <c r="AL155" s="20" t="e">
        <f t="shared" si="165"/>
        <v>#NUM!</v>
      </c>
      <c r="AM155" s="59" t="e">
        <f t="shared" si="113"/>
        <v>#NUM!</v>
      </c>
      <c r="AN155" s="59">
        <f ca="1">AVERAGE(OFFSET($AM$3,0,0,'Données projet'!$E$10+1,1))-AVERAGE(OFFSET($H$3,0,0,'Données projet'!$E$10+1,1))</f>
        <v>382.67703499770795</v>
      </c>
      <c r="AO155" s="59">
        <f t="shared" si="144"/>
        <v>237.98926636458219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170.88375253575094</v>
      </c>
      <c r="AV155" s="21">
        <f>EXP(-LN(2)/25)*AV154+(1-EXP(-LN(2)/25))/(LN(2)/25)*Calculateur!AQ155*Calculateur!AS155*VLOOKUP('Données projet'!$B$10,Paramètres!$A$1:$I$89,3,0)*0.475*44/12</f>
        <v>0</v>
      </c>
      <c r="AW155" s="21">
        <f>EXP(-LN(2)/2)*AW154+(1-EXP(-LN(2)/2))/(LN(2)/2)*AQ155*AT155*VLOOKUP('Données projet'!$B$10,Paramètres!$A$1:$I$89,3,0)*0.475*44/12</f>
        <v>0</v>
      </c>
      <c r="AX155" s="21">
        <f t="shared" si="166"/>
        <v>170.88375253575094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25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83.538000000000167</v>
      </c>
      <c r="D156" s="11">
        <f t="shared" si="140"/>
        <v>23.000052759134679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822.39900375472507</v>
      </c>
      <c r="H156" s="67">
        <f t="shared" si="110"/>
        <v>478.88710855549317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4.5474735088646412E-13</v>
      </c>
      <c r="O156" s="13">
        <f>N156*VLOOKUP('Données projet'!$B$9,Paramètres!$A$1:$I$89,3,0)*VLOOKUP('Données projet'!$B$9,Paramètres!$A$1:$I$89,5,0)</f>
        <v>2.7193891583010558E-13</v>
      </c>
      <c r="P156" s="13">
        <f t="shared" si="141"/>
        <v>3.6362267729089988E-12</v>
      </c>
      <c r="Q156" s="20">
        <f t="shared" si="162"/>
        <v>6.8067219078872727E-12</v>
      </c>
      <c r="R156" s="59">
        <f t="shared" si="109"/>
        <v>293.33333333334014</v>
      </c>
      <c r="S156" s="59">
        <f ca="1">AVERAGE(OFFSET($R$3,0,0,'Données projet'!$E$9+1,1))-AVERAGE(OFFSET($H$3,0,0,'Données projet'!$E$9+1,1))</f>
        <v>252.28378247570731</v>
      </c>
      <c r="T156" s="59">
        <f t="shared" si="142"/>
        <v>263.50418595307343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2.5693273190681549</v>
      </c>
      <c r="AA156" s="21">
        <f>EXP(-LN(2)/25)*AA155+(1-EXP(-LN(2)/25))/(LN(2)/25)*Calculateur!V156*Calculateur!X156*VLOOKUP('Données projet'!$B$9,Paramètres!$A$1:$I$89,3,0)*0.475*44/12</f>
        <v>0</v>
      </c>
      <c r="AB156" s="21">
        <f>EXP(-LN(2)/2)*AB155+(1-EXP(-LN(2)/2))/(LN(2)/2)*V156*Y156*VLOOKUP('Données projet'!$B$9,Paramètres!$A$1:$I$89,3,0)*0.475*44/12</f>
        <v>1.2377040257404032E-17</v>
      </c>
      <c r="AC156" s="22">
        <f t="shared" si="163"/>
        <v>2.5693273190681549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-2.2737367544323206E-13</v>
      </c>
      <c r="AJ156" s="13">
        <f>AI156*VLOOKUP('Données projet'!$B$10,Paramètres!$A$1:$I$89,3,0)*VLOOKUP('Données projet'!$B$10,Paramètres!$A$1:$I$89,5,0)</f>
        <v>-1.915395841933787E-13</v>
      </c>
      <c r="AK156" s="13" t="e">
        <f t="shared" si="164"/>
        <v>#NUM!</v>
      </c>
      <c r="AL156" s="20" t="e">
        <f t="shared" si="165"/>
        <v>#NUM!</v>
      </c>
      <c r="AM156" s="59" t="e">
        <f t="shared" si="113"/>
        <v>#NUM!</v>
      </c>
      <c r="AN156" s="59">
        <f ca="1">AVERAGE(OFFSET($AM$3,0,0,'Données projet'!$E$10+1,1))-AVERAGE(OFFSET($H$3,0,0,'Données projet'!$E$10+1,1))</f>
        <v>382.67703499770795</v>
      </c>
      <c r="AO156" s="59">
        <f t="shared" si="144"/>
        <v>237.98926636458219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167.53282637732218</v>
      </c>
      <c r="AV156" s="21">
        <f>EXP(-LN(2)/25)*AV155+(1-EXP(-LN(2)/25))/(LN(2)/25)*Calculateur!AQ156*Calculateur!AS156*VLOOKUP('Données projet'!$B$10,Paramètres!$A$1:$I$89,3,0)*0.475*44/12</f>
        <v>0</v>
      </c>
      <c r="AW156" s="21">
        <f>EXP(-LN(2)/2)*AW155+(1-EXP(-LN(2)/2))/(LN(2)/2)*AQ156*AT156*VLOOKUP('Données projet'!$B$10,Paramètres!$A$1:$I$89,3,0)*0.475*44/12</f>
        <v>0</v>
      </c>
      <c r="AX156" s="21">
        <f t="shared" si="166"/>
        <v>167.53282637732218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25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84.084000000000174</v>
      </c>
      <c r="D157" s="11">
        <f t="shared" si="140"/>
        <v>23.132831417334586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827.63869866012794</v>
      </c>
      <c r="H157" s="67">
        <f t="shared" si="110"/>
        <v>480.06931471852465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4.5474735088646412E-13</v>
      </c>
      <c r="O157" s="13">
        <f>N157*VLOOKUP('Données projet'!$B$9,Paramètres!$A$1:$I$89,3,0)*VLOOKUP('Données projet'!$B$9,Paramètres!$A$1:$I$89,5,0)</f>
        <v>2.7193891583010558E-13</v>
      </c>
      <c r="P157" s="13">
        <f t="shared" si="141"/>
        <v>3.6362267729089988E-12</v>
      </c>
      <c r="Q157" s="20">
        <f t="shared" si="162"/>
        <v>6.8067219078872727E-12</v>
      </c>
      <c r="R157" s="59">
        <f t="shared" si="109"/>
        <v>293.33333333334014</v>
      </c>
      <c r="S157" s="59">
        <f ca="1">AVERAGE(OFFSET($R$3,0,0,'Données projet'!$E$9+1,1))-AVERAGE(OFFSET($H$3,0,0,'Données projet'!$E$9+1,1))</f>
        <v>252.28378247570731</v>
      </c>
      <c r="T157" s="59">
        <f t="shared" si="142"/>
        <v>263.50418595307343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2.5189443774761515</v>
      </c>
      <c r="AA157" s="21">
        <f>EXP(-LN(2)/25)*AA156+(1-EXP(-LN(2)/25))/(LN(2)/25)*Calculateur!V157*Calculateur!X157*VLOOKUP('Données projet'!$B$9,Paramètres!$A$1:$I$89,3,0)*0.475*44/12</f>
        <v>0</v>
      </c>
      <c r="AB157" s="21">
        <f>EXP(-LN(2)/2)*AB156+(1-EXP(-LN(2)/2))/(LN(2)/2)*V157*Y157*VLOOKUP('Données projet'!$B$9,Paramètres!$A$1:$I$89,3,0)*0.475*44/12</f>
        <v>8.7518890970292824E-18</v>
      </c>
      <c r="AC157" s="22">
        <f t="shared" si="163"/>
        <v>2.5189443774761515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-2.2737367544323206E-13</v>
      </c>
      <c r="AJ157" s="13">
        <f>AI157*VLOOKUP('Données projet'!$B$10,Paramètres!$A$1:$I$89,3,0)*VLOOKUP('Données projet'!$B$10,Paramètres!$A$1:$I$89,5,0)</f>
        <v>-1.915395841933787E-13</v>
      </c>
      <c r="AK157" s="13" t="e">
        <f t="shared" si="164"/>
        <v>#NUM!</v>
      </c>
      <c r="AL157" s="20" t="e">
        <f t="shared" si="165"/>
        <v>#NUM!</v>
      </c>
      <c r="AM157" s="59" t="e">
        <f t="shared" si="113"/>
        <v>#NUM!</v>
      </c>
      <c r="AN157" s="59">
        <f ca="1">AVERAGE(OFFSET($AM$3,0,0,'Données projet'!$E$10+1,1))-AVERAGE(OFFSET($H$3,0,0,'Données projet'!$E$10+1,1))</f>
        <v>382.67703499770795</v>
      </c>
      <c r="AO157" s="59">
        <f t="shared" si="144"/>
        <v>237.98926636458219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164.24760983699707</v>
      </c>
      <c r="AV157" s="21">
        <f>EXP(-LN(2)/25)*AV156+(1-EXP(-LN(2)/25))/(LN(2)/25)*Calculateur!AQ157*Calculateur!AS157*VLOOKUP('Données projet'!$B$10,Paramètres!$A$1:$I$89,3,0)*0.475*44/12</f>
        <v>0</v>
      </c>
      <c r="AW157" s="21">
        <f>EXP(-LN(2)/2)*AW156+(1-EXP(-LN(2)/2))/(LN(2)/2)*AQ157*AT157*VLOOKUP('Données projet'!$B$10,Paramètres!$A$1:$I$89,3,0)*0.475*44/12</f>
        <v>0</v>
      </c>
      <c r="AX157" s="21">
        <f t="shared" si="166"/>
        <v>164.24760983699707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25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84.63000000000018</v>
      </c>
      <c r="D158" s="11">
        <f t="shared" si="140"/>
        <v>23.265509752734562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832.8776191439174</v>
      </c>
      <c r="H158" s="67">
        <f t="shared" si="110"/>
        <v>481.25134615267967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4.5474735088646412E-13</v>
      </c>
      <c r="O158" s="13">
        <f>N158*VLOOKUP('Données projet'!$B$9,Paramètres!$A$1:$I$89,3,0)*VLOOKUP('Données projet'!$B$9,Paramètres!$A$1:$I$89,5,0)</f>
        <v>2.7193891583010558E-13</v>
      </c>
      <c r="P158" s="13">
        <f t="shared" si="141"/>
        <v>3.6362267729089988E-12</v>
      </c>
      <c r="Q158" s="20">
        <f t="shared" si="162"/>
        <v>6.8067219078872727E-12</v>
      </c>
      <c r="R158" s="59">
        <f t="shared" si="109"/>
        <v>293.33333333334014</v>
      </c>
      <c r="S158" s="59">
        <f ca="1">AVERAGE(OFFSET($R$3,0,0,'Données projet'!$E$9+1,1))-AVERAGE(OFFSET($H$3,0,0,'Données projet'!$E$9+1,1))</f>
        <v>252.28378247570731</v>
      </c>
      <c r="T158" s="59">
        <f t="shared" si="142"/>
        <v>263.50418595307343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2.4695494146382071</v>
      </c>
      <c r="AA158" s="21">
        <f>EXP(-LN(2)/25)*AA157+(1-EXP(-LN(2)/25))/(LN(2)/25)*Calculateur!V158*Calculateur!X158*VLOOKUP('Données projet'!$B$9,Paramètres!$A$1:$I$89,3,0)*0.475*44/12</f>
        <v>0</v>
      </c>
      <c r="AB158" s="21">
        <f>EXP(-LN(2)/2)*AB157+(1-EXP(-LN(2)/2))/(LN(2)/2)*V158*Y158*VLOOKUP('Données projet'!$B$9,Paramètres!$A$1:$I$89,3,0)*0.475*44/12</f>
        <v>6.1885201287020158E-18</v>
      </c>
      <c r="AC158" s="22">
        <f t="shared" si="163"/>
        <v>2.4695494146382071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-2.2737367544323206E-13</v>
      </c>
      <c r="AJ158" s="13">
        <f>AI158*VLOOKUP('Données projet'!$B$10,Paramètres!$A$1:$I$89,3,0)*VLOOKUP('Données projet'!$B$10,Paramètres!$A$1:$I$89,5,0)</f>
        <v>-1.915395841933787E-13</v>
      </c>
      <c r="AK158" s="13" t="e">
        <f t="shared" si="164"/>
        <v>#NUM!</v>
      </c>
      <c r="AL158" s="20" t="e">
        <f t="shared" si="165"/>
        <v>#NUM!</v>
      </c>
      <c r="AM158" s="59" t="e">
        <f t="shared" si="113"/>
        <v>#NUM!</v>
      </c>
      <c r="AN158" s="59">
        <f ca="1">AVERAGE(OFFSET($AM$3,0,0,'Données projet'!$E$10+1,1))-AVERAGE(OFFSET($H$3,0,0,'Données projet'!$E$10+1,1))</f>
        <v>382.67703499770795</v>
      </c>
      <c r="AO158" s="59">
        <f t="shared" si="144"/>
        <v>237.98926636458219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161.0268143892435</v>
      </c>
      <c r="AV158" s="21">
        <f>EXP(-LN(2)/25)*AV157+(1-EXP(-LN(2)/25))/(LN(2)/25)*Calculateur!AQ158*Calculateur!AS158*VLOOKUP('Données projet'!$B$10,Paramètres!$A$1:$I$89,3,0)*0.475*44/12</f>
        <v>0</v>
      </c>
      <c r="AW158" s="21">
        <f>EXP(-LN(2)/2)*AW157+(1-EXP(-LN(2)/2))/(LN(2)/2)*AQ158*AT158*VLOOKUP('Données projet'!$B$10,Paramètres!$A$1:$I$89,3,0)*0.475*44/12</f>
        <v>0</v>
      </c>
      <c r="AX158" s="21">
        <f t="shared" si="166"/>
        <v>161.0268143892435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25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85.176000000000187</v>
      </c>
      <c r="D159" s="11">
        <f t="shared" si="140"/>
        <v>23.398088487656484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838.11577078191112</v>
      </c>
      <c r="H159" s="67">
        <f t="shared" si="110"/>
        <v>482.433204116002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4.5474735088646412E-13</v>
      </c>
      <c r="O159" s="13">
        <f>N159*VLOOKUP('Données projet'!$B$9,Paramètres!$A$1:$I$89,3,0)*VLOOKUP('Données projet'!$B$9,Paramètres!$A$1:$I$89,5,0)</f>
        <v>2.7193891583010558E-13</v>
      </c>
      <c r="P159" s="13">
        <f t="shared" si="141"/>
        <v>3.6362267729089988E-12</v>
      </c>
      <c r="Q159" s="20">
        <f t="shared" si="162"/>
        <v>6.8067219078872727E-12</v>
      </c>
      <c r="R159" s="59">
        <f t="shared" si="109"/>
        <v>293.33333333334014</v>
      </c>
      <c r="S159" s="59">
        <f ca="1">AVERAGE(OFFSET($R$3,0,0,'Données projet'!$E$9+1,1))-AVERAGE(OFFSET($H$3,0,0,'Données projet'!$E$9+1,1))</f>
        <v>252.28378247570731</v>
      </c>
      <c r="T159" s="59">
        <f t="shared" si="142"/>
        <v>263.50418595307343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2.4211230568935624</v>
      </c>
      <c r="AA159" s="21">
        <f>EXP(-LN(2)/25)*AA158+(1-EXP(-LN(2)/25))/(LN(2)/25)*Calculateur!V159*Calculateur!X159*VLOOKUP('Données projet'!$B$9,Paramètres!$A$1:$I$89,3,0)*0.475*44/12</f>
        <v>0</v>
      </c>
      <c r="AB159" s="21">
        <f>EXP(-LN(2)/2)*AB158+(1-EXP(-LN(2)/2))/(LN(2)/2)*V159*Y159*VLOOKUP('Données projet'!$B$9,Paramètres!$A$1:$I$89,3,0)*0.475*44/12</f>
        <v>4.3759445485146412E-18</v>
      </c>
      <c r="AC159" s="22">
        <f t="shared" si="163"/>
        <v>2.4211230568935624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-2.2737367544323206E-13</v>
      </c>
      <c r="AJ159" s="13">
        <f>AI159*VLOOKUP('Données projet'!$B$10,Paramètres!$A$1:$I$89,3,0)*VLOOKUP('Données projet'!$B$10,Paramètres!$A$1:$I$89,5,0)</f>
        <v>-1.915395841933787E-13</v>
      </c>
      <c r="AK159" s="13" t="e">
        <f t="shared" si="164"/>
        <v>#NUM!</v>
      </c>
      <c r="AL159" s="20" t="e">
        <f t="shared" si="165"/>
        <v>#NUM!</v>
      </c>
      <c r="AM159" s="59" t="e">
        <f t="shared" si="113"/>
        <v>#NUM!</v>
      </c>
      <c r="AN159" s="59">
        <f ca="1">AVERAGE(OFFSET($AM$3,0,0,'Données projet'!$E$10+1,1))-AVERAGE(OFFSET($H$3,0,0,'Données projet'!$E$10+1,1))</f>
        <v>382.67703499770795</v>
      </c>
      <c r="AO159" s="59">
        <f t="shared" si="144"/>
        <v>237.98926636458219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157.86917677572913</v>
      </c>
      <c r="AV159" s="21">
        <f>EXP(-LN(2)/25)*AV158+(1-EXP(-LN(2)/25))/(LN(2)/25)*Calculateur!AQ159*Calculateur!AS159*VLOOKUP('Données projet'!$B$10,Paramètres!$A$1:$I$89,3,0)*0.475*44/12</f>
        <v>0</v>
      </c>
      <c r="AW159" s="21">
        <f>EXP(-LN(2)/2)*AW158+(1-EXP(-LN(2)/2))/(LN(2)/2)*AQ159*AT159*VLOOKUP('Données projet'!$B$10,Paramètres!$A$1:$I$89,3,0)*0.475*44/12</f>
        <v>0</v>
      </c>
      <c r="AX159" s="21">
        <f t="shared" si="166"/>
        <v>157.86917677572913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25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85.722000000000193</v>
      </c>
      <c r="D160" s="11">
        <f t="shared" si="140"/>
        <v>23.530568334626178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843.35315907430879</v>
      </c>
      <c r="H160" s="67">
        <f t="shared" si="110"/>
        <v>483.61488984947425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4.5474735088646412E-13</v>
      </c>
      <c r="O160" s="13">
        <f>N160*VLOOKUP('Données projet'!$B$9,Paramètres!$A$1:$I$89,3,0)*VLOOKUP('Données projet'!$B$9,Paramètres!$A$1:$I$89,5,0)</f>
        <v>2.7193891583010558E-13</v>
      </c>
      <c r="P160" s="13">
        <f t="shared" si="141"/>
        <v>3.6362267729089988E-12</v>
      </c>
      <c r="Q160" s="20">
        <f t="shared" si="162"/>
        <v>6.8067219078872727E-12</v>
      </c>
      <c r="R160" s="59">
        <f t="shared" si="109"/>
        <v>293.33333333334014</v>
      </c>
      <c r="S160" s="59">
        <f ca="1">AVERAGE(OFFSET($R$3,0,0,'Données projet'!$E$9+1,1))-AVERAGE(OFFSET($H$3,0,0,'Données projet'!$E$9+1,1))</f>
        <v>252.28378247570731</v>
      </c>
      <c r="T160" s="59">
        <f t="shared" si="142"/>
        <v>263.50418595307343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2.3736463104871284</v>
      </c>
      <c r="AA160" s="21">
        <f>EXP(-LN(2)/25)*AA159+(1-EXP(-LN(2)/25))/(LN(2)/25)*Calculateur!V160*Calculateur!X160*VLOOKUP('Données projet'!$B$9,Paramètres!$A$1:$I$89,3,0)*0.475*44/12</f>
        <v>0</v>
      </c>
      <c r="AB160" s="21">
        <f>EXP(-LN(2)/2)*AB159+(1-EXP(-LN(2)/2))/(LN(2)/2)*V160*Y160*VLOOKUP('Données projet'!$B$9,Paramètres!$A$1:$I$89,3,0)*0.475*44/12</f>
        <v>3.0942600643510079E-18</v>
      </c>
      <c r="AC160" s="22">
        <f t="shared" si="163"/>
        <v>2.3736463104871284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-2.2737367544323206E-13</v>
      </c>
      <c r="AJ160" s="13">
        <f>AI160*VLOOKUP('Données projet'!$B$10,Paramètres!$A$1:$I$89,3,0)*VLOOKUP('Données projet'!$B$10,Paramètres!$A$1:$I$89,5,0)</f>
        <v>-1.915395841933787E-13</v>
      </c>
      <c r="AK160" s="13" t="e">
        <f t="shared" si="164"/>
        <v>#NUM!</v>
      </c>
      <c r="AL160" s="20" t="e">
        <f t="shared" si="165"/>
        <v>#NUM!</v>
      </c>
      <c r="AM160" s="59" t="e">
        <f t="shared" si="113"/>
        <v>#NUM!</v>
      </c>
      <c r="AN160" s="59">
        <f ca="1">AVERAGE(OFFSET($AM$3,0,0,'Données projet'!$E$10+1,1))-AVERAGE(OFFSET($H$3,0,0,'Données projet'!$E$10+1,1))</f>
        <v>382.67703499770795</v>
      </c>
      <c r="AO160" s="59">
        <f t="shared" si="144"/>
        <v>237.98926636458219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154.77345850984699</v>
      </c>
      <c r="AV160" s="21">
        <f>EXP(-LN(2)/25)*AV159+(1-EXP(-LN(2)/25))/(LN(2)/25)*Calculateur!AQ160*Calculateur!AS160*VLOOKUP('Données projet'!$B$10,Paramètres!$A$1:$I$89,3,0)*0.475*44/12</f>
        <v>0</v>
      </c>
      <c r="AW160" s="21">
        <f>EXP(-LN(2)/2)*AW159+(1-EXP(-LN(2)/2))/(LN(2)/2)*AQ160*AT160*VLOOKUP('Données projet'!$B$10,Paramètres!$A$1:$I$89,3,0)*0.475*44/12</f>
        <v>0</v>
      </c>
      <c r="AX160" s="21">
        <f t="shared" si="166"/>
        <v>154.77345850984699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25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86.2680000000002</v>
      </c>
      <c r="D161" s="11">
        <f t="shared" si="140"/>
        <v>23.662949996567761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848.58978944719138</v>
      </c>
      <c r="H161" s="67">
        <f t="shared" si="110"/>
        <v>484.79640457735582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4.5474735088646412E-13</v>
      </c>
      <c r="O161" s="13">
        <f>N161*VLOOKUP('Données projet'!$B$9,Paramètres!$A$1:$I$89,3,0)*VLOOKUP('Données projet'!$B$9,Paramètres!$A$1:$I$89,5,0)</f>
        <v>2.7193891583010558E-13</v>
      </c>
      <c r="P161" s="13">
        <f t="shared" si="141"/>
        <v>3.6362267729089988E-12</v>
      </c>
      <c r="Q161" s="20">
        <f t="shared" si="162"/>
        <v>6.8067219078872727E-12</v>
      </c>
      <c r="R161" s="59">
        <f t="shared" si="109"/>
        <v>293.33333333334014</v>
      </c>
      <c r="S161" s="59">
        <f ca="1">AVERAGE(OFFSET($R$3,0,0,'Données projet'!$E$9+1,1))-AVERAGE(OFFSET($H$3,0,0,'Données projet'!$E$9+1,1))</f>
        <v>252.28378247570731</v>
      </c>
      <c r="T161" s="59">
        <f t="shared" si="142"/>
        <v>263.50418595307343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2.3271005541197685</v>
      </c>
      <c r="AA161" s="21">
        <f>EXP(-LN(2)/25)*AA160+(1-EXP(-LN(2)/25))/(LN(2)/25)*Calculateur!V161*Calculateur!X161*VLOOKUP('Données projet'!$B$9,Paramètres!$A$1:$I$89,3,0)*0.475*44/12</f>
        <v>0</v>
      </c>
      <c r="AB161" s="21">
        <f>EXP(-LN(2)/2)*AB160+(1-EXP(-LN(2)/2))/(LN(2)/2)*V161*Y161*VLOOKUP('Données projet'!$B$9,Paramètres!$A$1:$I$89,3,0)*0.475*44/12</f>
        <v>2.1879722742573206E-18</v>
      </c>
      <c r="AC161" s="22">
        <f t="shared" si="163"/>
        <v>2.3271005541197685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-2.2737367544323206E-13</v>
      </c>
      <c r="AJ161" s="13">
        <f>AI161*VLOOKUP('Données projet'!$B$10,Paramètres!$A$1:$I$89,3,0)*VLOOKUP('Données projet'!$B$10,Paramètres!$A$1:$I$89,5,0)</f>
        <v>-1.915395841933787E-13</v>
      </c>
      <c r="AK161" s="13" t="e">
        <f t="shared" si="164"/>
        <v>#NUM!</v>
      </c>
      <c r="AL161" s="20" t="e">
        <f t="shared" si="165"/>
        <v>#NUM!</v>
      </c>
      <c r="AM161" s="59" t="e">
        <f t="shared" si="113"/>
        <v>#NUM!</v>
      </c>
      <c r="AN161" s="59">
        <f ca="1">AVERAGE(OFFSET($AM$3,0,0,'Données projet'!$E$10+1,1))-AVERAGE(OFFSET($H$3,0,0,'Données projet'!$E$10+1,1))</f>
        <v>382.67703499770795</v>
      </c>
      <c r="AO161" s="59">
        <f t="shared" si="144"/>
        <v>237.98926636458219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151.73844539095711</v>
      </c>
      <c r="AV161" s="21">
        <f>EXP(-LN(2)/25)*AV160+(1-EXP(-LN(2)/25))/(LN(2)/25)*Calculateur!AQ161*Calculateur!AS161*VLOOKUP('Données projet'!$B$10,Paramètres!$A$1:$I$89,3,0)*0.475*44/12</f>
        <v>0</v>
      </c>
      <c r="AW161" s="21">
        <f>EXP(-LN(2)/2)*AW160+(1-EXP(-LN(2)/2))/(LN(2)/2)*AQ161*AT161*VLOOKUP('Données projet'!$B$10,Paramètres!$A$1:$I$89,3,0)*0.475*44/12</f>
        <v>0</v>
      </c>
      <c r="AX161" s="21">
        <f t="shared" si="166"/>
        <v>151.73844539095711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25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86.814000000000206</v>
      </c>
      <c r="D162" s="11">
        <f t="shared" si="140"/>
        <v>23.795234166993069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853.82566725398328</v>
      </c>
      <c r="H162" s="67">
        <f t="shared" si="110"/>
        <v>485.97774950751329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4.5474735088646412E-13</v>
      </c>
      <c r="O162" s="13">
        <f>N162*VLOOKUP('Données projet'!$B$9,Paramètres!$A$1:$I$89,3,0)*VLOOKUP('Données projet'!$B$9,Paramètres!$A$1:$I$89,5,0)</f>
        <v>2.7193891583010558E-13</v>
      </c>
      <c r="P162" s="13">
        <f t="shared" si="141"/>
        <v>3.6362267729089988E-12</v>
      </c>
      <c r="Q162" s="20">
        <f t="shared" si="162"/>
        <v>6.8067219078872727E-12</v>
      </c>
      <c r="R162" s="59">
        <f t="shared" si="109"/>
        <v>293.33333333334014</v>
      </c>
      <c r="S162" s="59">
        <f ca="1">AVERAGE(OFFSET($R$3,0,0,'Données projet'!$E$9+1,1))-AVERAGE(OFFSET($H$3,0,0,'Données projet'!$E$9+1,1))</f>
        <v>252.28378247570731</v>
      </c>
      <c r="T162" s="59">
        <f t="shared" si="142"/>
        <v>263.50418595307343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2.2814675316446644</v>
      </c>
      <c r="AA162" s="21">
        <f>EXP(-LN(2)/25)*AA161+(1-EXP(-LN(2)/25))/(LN(2)/25)*Calculateur!V162*Calculateur!X162*VLOOKUP('Données projet'!$B$9,Paramètres!$A$1:$I$89,3,0)*0.475*44/12</f>
        <v>0</v>
      </c>
      <c r="AB162" s="21">
        <f>EXP(-LN(2)/2)*AB161+(1-EXP(-LN(2)/2))/(LN(2)/2)*V162*Y162*VLOOKUP('Données projet'!$B$9,Paramètres!$A$1:$I$89,3,0)*0.475*44/12</f>
        <v>1.547130032175504E-18</v>
      </c>
      <c r="AC162" s="22">
        <f t="shared" si="163"/>
        <v>2.2814675316446644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-2.2737367544323206E-13</v>
      </c>
      <c r="AJ162" s="13">
        <f>AI162*VLOOKUP('Données projet'!$B$10,Paramètres!$A$1:$I$89,3,0)*VLOOKUP('Données projet'!$B$10,Paramètres!$A$1:$I$89,5,0)</f>
        <v>-1.915395841933787E-13</v>
      </c>
      <c r="AK162" s="13" t="e">
        <f t="shared" si="164"/>
        <v>#NUM!</v>
      </c>
      <c r="AL162" s="20" t="e">
        <f t="shared" si="165"/>
        <v>#NUM!</v>
      </c>
      <c r="AM162" s="59" t="e">
        <f t="shared" si="113"/>
        <v>#NUM!</v>
      </c>
      <c r="AN162" s="59">
        <f ca="1">AVERAGE(OFFSET($AM$3,0,0,'Données projet'!$E$10+1,1))-AVERAGE(OFFSET($H$3,0,0,'Données projet'!$E$10+1,1))</f>
        <v>382.67703499770795</v>
      </c>
      <c r="AO162" s="59">
        <f t="shared" si="144"/>
        <v>237.98926636458219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148.76294702815343</v>
      </c>
      <c r="AV162" s="21">
        <f>EXP(-LN(2)/25)*AV161+(1-EXP(-LN(2)/25))/(LN(2)/25)*Calculateur!AQ162*Calculateur!AS162*VLOOKUP('Données projet'!$B$10,Paramètres!$A$1:$I$89,3,0)*0.475*44/12</f>
        <v>0</v>
      </c>
      <c r="AW162" s="21">
        <f>EXP(-LN(2)/2)*AW161+(1-EXP(-LN(2)/2))/(LN(2)/2)*AQ162*AT162*VLOOKUP('Données projet'!$B$10,Paramètres!$A$1:$I$89,3,0)*0.475*44/12</f>
        <v>0</v>
      </c>
      <c r="AX162" s="21">
        <f t="shared" si="166"/>
        <v>148.76294702815343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25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87.360000000000213</v>
      </c>
      <c r="D163" s="11">
        <f t="shared" si="140"/>
        <v>23.927421530185995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859.06079777687592</v>
      </c>
      <c r="H163" s="67">
        <f t="shared" si="110"/>
        <v>487.15892583174093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4.5474735088646412E-13</v>
      </c>
      <c r="O163" s="13">
        <f>N163*VLOOKUP('Données projet'!$B$9,Paramètres!$A$1:$I$89,3,0)*VLOOKUP('Données projet'!$B$9,Paramètres!$A$1:$I$89,5,0)</f>
        <v>2.7193891583010558E-13</v>
      </c>
      <c r="P163" s="13">
        <f t="shared" si="141"/>
        <v>3.6362267729089988E-12</v>
      </c>
      <c r="Q163" s="20">
        <f t="shared" si="162"/>
        <v>6.8067219078872727E-12</v>
      </c>
      <c r="R163" s="59">
        <f t="shared" si="109"/>
        <v>293.33333333334014</v>
      </c>
      <c r="S163" s="59">
        <f ca="1">AVERAGE(OFFSET($R$3,0,0,'Données projet'!$E$9+1,1))-AVERAGE(OFFSET($H$3,0,0,'Données projet'!$E$9+1,1))</f>
        <v>252.28378247570731</v>
      </c>
      <c r="T163" s="59">
        <f t="shared" si="142"/>
        <v>263.50418595307343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2.2367293449069021</v>
      </c>
      <c r="AA163" s="21">
        <f>EXP(-LN(2)/25)*AA162+(1-EXP(-LN(2)/25))/(LN(2)/25)*Calculateur!V163*Calculateur!X163*VLOOKUP('Données projet'!$B$9,Paramètres!$A$1:$I$89,3,0)*0.475*44/12</f>
        <v>0</v>
      </c>
      <c r="AB163" s="21">
        <f>EXP(-LN(2)/2)*AB162+(1-EXP(-LN(2)/2))/(LN(2)/2)*V163*Y163*VLOOKUP('Données projet'!$B$9,Paramètres!$A$1:$I$89,3,0)*0.475*44/12</f>
        <v>1.0939861371286603E-18</v>
      </c>
      <c r="AC163" s="22">
        <f t="shared" si="163"/>
        <v>2.2367293449069021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-2.2737367544323206E-13</v>
      </c>
      <c r="AJ163" s="13">
        <f>AI163*VLOOKUP('Données projet'!$B$10,Paramètres!$A$1:$I$89,3,0)*VLOOKUP('Données projet'!$B$10,Paramètres!$A$1:$I$89,5,0)</f>
        <v>-1.915395841933787E-13</v>
      </c>
      <c r="AK163" s="13" t="e">
        <f t="shared" si="164"/>
        <v>#NUM!</v>
      </c>
      <c r="AL163" s="20" t="e">
        <f t="shared" si="165"/>
        <v>#NUM!</v>
      </c>
      <c r="AM163" s="59" t="e">
        <f t="shared" si="113"/>
        <v>#NUM!</v>
      </c>
      <c r="AN163" s="59">
        <f ca="1">AVERAGE(OFFSET($AM$3,0,0,'Données projet'!$E$10+1,1))-AVERAGE(OFFSET($H$3,0,0,'Données projet'!$E$10+1,1))</f>
        <v>382.67703499770795</v>
      </c>
      <c r="AO163" s="59">
        <f t="shared" si="144"/>
        <v>237.98926636458219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145.84579637336955</v>
      </c>
      <c r="AV163" s="21">
        <f>EXP(-LN(2)/25)*AV162+(1-EXP(-LN(2)/25))/(LN(2)/25)*Calculateur!AQ163*Calculateur!AS163*VLOOKUP('Données projet'!$B$10,Paramètres!$A$1:$I$89,3,0)*0.475*44/12</f>
        <v>0</v>
      </c>
      <c r="AW163" s="21">
        <f>EXP(-LN(2)/2)*AW162+(1-EXP(-LN(2)/2))/(LN(2)/2)*AQ163*AT163*VLOOKUP('Données projet'!$B$10,Paramètres!$A$1:$I$89,3,0)*0.475*44/12</f>
        <v>0</v>
      </c>
      <c r="AX163" s="21">
        <f t="shared" si="166"/>
        <v>145.84579637336955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25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87.906000000000219</v>
      </c>
      <c r="D164" s="11">
        <f t="shared" si="140"/>
        <v>24.059512761382141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864.29518622821467</v>
      </c>
      <c r="H164" s="67">
        <f t="shared" si="110"/>
        <v>488.33993472607426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4.5474735088646412E-13</v>
      </c>
      <c r="O164" s="13">
        <f>N164*VLOOKUP('Données projet'!$B$9,Paramètres!$A$1:$I$89,3,0)*VLOOKUP('Données projet'!$B$9,Paramètres!$A$1:$I$89,5,0)</f>
        <v>2.7193891583010558E-13</v>
      </c>
      <c r="P164" s="13">
        <f t="shared" si="141"/>
        <v>3.6362267729089988E-12</v>
      </c>
      <c r="Q164" s="20">
        <f t="shared" si="162"/>
        <v>6.8067219078872727E-12</v>
      </c>
      <c r="R164" s="59">
        <f t="shared" si="109"/>
        <v>293.33333333334014</v>
      </c>
      <c r="S164" s="59">
        <f ca="1">AVERAGE(OFFSET($R$3,0,0,'Données projet'!$E$9+1,1))-AVERAGE(OFFSET($H$3,0,0,'Données projet'!$E$9+1,1))</f>
        <v>252.28378247570731</v>
      </c>
      <c r="T164" s="59">
        <f t="shared" si="142"/>
        <v>263.50418595307343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2.1928684467234678</v>
      </c>
      <c r="AA164" s="21">
        <f>EXP(-LN(2)/25)*AA163+(1-EXP(-LN(2)/25))/(LN(2)/25)*Calculateur!V164*Calculateur!X164*VLOOKUP('Données projet'!$B$9,Paramètres!$A$1:$I$89,3,0)*0.475*44/12</f>
        <v>0</v>
      </c>
      <c r="AB164" s="21">
        <f>EXP(-LN(2)/2)*AB163+(1-EXP(-LN(2)/2))/(LN(2)/2)*V164*Y164*VLOOKUP('Données projet'!$B$9,Paramètres!$A$1:$I$89,3,0)*0.475*44/12</f>
        <v>7.7356501608775198E-19</v>
      </c>
      <c r="AC164" s="22">
        <f t="shared" si="163"/>
        <v>2.1928684467234678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-2.2737367544323206E-13</v>
      </c>
      <c r="AJ164" s="13">
        <f>AI164*VLOOKUP('Données projet'!$B$10,Paramètres!$A$1:$I$89,3,0)*VLOOKUP('Données projet'!$B$10,Paramètres!$A$1:$I$89,5,0)</f>
        <v>-1.915395841933787E-13</v>
      </c>
      <c r="AK164" s="13" t="e">
        <f t="shared" si="164"/>
        <v>#NUM!</v>
      </c>
      <c r="AL164" s="20" t="e">
        <f t="shared" si="165"/>
        <v>#NUM!</v>
      </c>
      <c r="AM164" s="59" t="e">
        <f t="shared" si="113"/>
        <v>#NUM!</v>
      </c>
      <c r="AN164" s="59">
        <f ca="1">AVERAGE(OFFSET($AM$3,0,0,'Données projet'!$E$10+1,1))-AVERAGE(OFFSET($H$3,0,0,'Données projet'!$E$10+1,1))</f>
        <v>382.67703499770795</v>
      </c>
      <c r="AO164" s="59">
        <f t="shared" si="144"/>
        <v>237.98926636458219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142.98584926363978</v>
      </c>
      <c r="AV164" s="21">
        <f>EXP(-LN(2)/25)*AV163+(1-EXP(-LN(2)/25))/(LN(2)/25)*Calculateur!AQ164*Calculateur!AS164*VLOOKUP('Données projet'!$B$10,Paramètres!$A$1:$I$89,3,0)*0.475*44/12</f>
        <v>0</v>
      </c>
      <c r="AW164" s="21">
        <f>EXP(-LN(2)/2)*AW163+(1-EXP(-LN(2)/2))/(LN(2)/2)*AQ164*AT164*VLOOKUP('Données projet'!$B$10,Paramètres!$A$1:$I$89,3,0)*0.475*44/12</f>
        <v>0</v>
      </c>
      <c r="AX164" s="21">
        <f t="shared" si="166"/>
        <v>142.98584926363978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25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88.452000000000226</v>
      </c>
      <c r="D165" s="11">
        <f t="shared" si="140"/>
        <v>24.191508526944009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869.52883775185035</v>
      </c>
      <c r="H165" s="67">
        <f t="shared" si="110"/>
        <v>489.52077735109452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4.5474735088646412E-13</v>
      </c>
      <c r="O165" s="13">
        <f>N165*VLOOKUP('Données projet'!$B$9,Paramètres!$A$1:$I$89,3,0)*VLOOKUP('Données projet'!$B$9,Paramètres!$A$1:$I$89,5,0)</f>
        <v>2.7193891583010558E-13</v>
      </c>
      <c r="P165" s="13">
        <f t="shared" si="141"/>
        <v>3.6362267729089988E-12</v>
      </c>
      <c r="Q165" s="20">
        <f t="shared" si="162"/>
        <v>6.8067219078872727E-12</v>
      </c>
      <c r="R165" s="59">
        <f t="shared" si="109"/>
        <v>293.33333333334014</v>
      </c>
      <c r="S165" s="59">
        <f ca="1">AVERAGE(OFFSET($R$3,0,0,'Données projet'!$E$9+1,1))-AVERAGE(OFFSET($H$3,0,0,'Données projet'!$E$9+1,1))</f>
        <v>252.28378247570731</v>
      </c>
      <c r="T165" s="59">
        <f t="shared" si="142"/>
        <v>263.50418595307343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2.1498676340009042</v>
      </c>
      <c r="AA165" s="21">
        <f>EXP(-LN(2)/25)*AA164+(1-EXP(-LN(2)/25))/(LN(2)/25)*Calculateur!V165*Calculateur!X165*VLOOKUP('Données projet'!$B$9,Paramètres!$A$1:$I$89,3,0)*0.475*44/12</f>
        <v>0</v>
      </c>
      <c r="AB165" s="21">
        <f>EXP(-LN(2)/2)*AB164+(1-EXP(-LN(2)/2))/(LN(2)/2)*V165*Y165*VLOOKUP('Données projet'!$B$9,Paramètres!$A$1:$I$89,3,0)*0.475*44/12</f>
        <v>5.4699306856433015E-19</v>
      </c>
      <c r="AC165" s="22">
        <f t="shared" si="163"/>
        <v>2.1498676340009042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-2.2737367544323206E-13</v>
      </c>
      <c r="AJ165" s="13">
        <f>AI165*VLOOKUP('Données projet'!$B$10,Paramètres!$A$1:$I$89,3,0)*VLOOKUP('Données projet'!$B$10,Paramètres!$A$1:$I$89,5,0)</f>
        <v>-1.915395841933787E-13</v>
      </c>
      <c r="AK165" s="13" t="e">
        <f t="shared" si="164"/>
        <v>#NUM!</v>
      </c>
      <c r="AL165" s="20" t="e">
        <f t="shared" si="165"/>
        <v>#NUM!</v>
      </c>
      <c r="AM165" s="59" t="e">
        <f t="shared" si="113"/>
        <v>#NUM!</v>
      </c>
      <c r="AN165" s="59">
        <f ca="1">AVERAGE(OFFSET($AM$3,0,0,'Données projet'!$E$10+1,1))-AVERAGE(OFFSET($H$3,0,0,'Données projet'!$E$10+1,1))</f>
        <v>382.67703499770795</v>
      </c>
      <c r="AO165" s="59">
        <f t="shared" si="144"/>
        <v>237.98926636458219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140.1819839723363</v>
      </c>
      <c r="AV165" s="21">
        <f>EXP(-LN(2)/25)*AV164+(1-EXP(-LN(2)/25))/(LN(2)/25)*Calculateur!AQ165*Calculateur!AS165*VLOOKUP('Données projet'!$B$10,Paramètres!$A$1:$I$89,3,0)*0.475*44/12</f>
        <v>0</v>
      </c>
      <c r="AW165" s="21">
        <f>EXP(-LN(2)/2)*AW164+(1-EXP(-LN(2)/2))/(LN(2)/2)*AQ165*AT165*VLOOKUP('Données projet'!$B$10,Paramètres!$A$1:$I$89,3,0)*0.475*44/12</f>
        <v>0</v>
      </c>
      <c r="AX165" s="21">
        <f t="shared" si="166"/>
        <v>140.1819839723363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25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88.998000000000232</v>
      </c>
      <c r="D166" s="11">
        <f t="shared" si="140"/>
        <v>24.323409484531542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874.76175742445582</v>
      </c>
      <c r="H166" s="67">
        <f t="shared" si="110"/>
        <v>490.70145485222611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4.5474735088646412E-13</v>
      </c>
      <c r="O166" s="13">
        <f>N166*VLOOKUP('Données projet'!$B$9,Paramètres!$A$1:$I$89,3,0)*VLOOKUP('Données projet'!$B$9,Paramètres!$A$1:$I$89,5,0)</f>
        <v>2.7193891583010558E-13</v>
      </c>
      <c r="P166" s="13">
        <f t="shared" si="141"/>
        <v>3.6362267729089988E-12</v>
      </c>
      <c r="Q166" s="20">
        <f t="shared" si="162"/>
        <v>6.8067219078872727E-12</v>
      </c>
      <c r="R166" s="59">
        <f t="shared" si="109"/>
        <v>293.33333333334014</v>
      </c>
      <c r="S166" s="59">
        <f ca="1">AVERAGE(OFFSET($R$3,0,0,'Données projet'!$E$9+1,1))-AVERAGE(OFFSET($H$3,0,0,'Données projet'!$E$9+1,1))</f>
        <v>252.28378247570731</v>
      </c>
      <c r="T166" s="59">
        <f t="shared" si="142"/>
        <v>263.50418595307343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2.1077100409879241</v>
      </c>
      <c r="AA166" s="21">
        <f>EXP(-LN(2)/25)*AA165+(1-EXP(-LN(2)/25))/(LN(2)/25)*Calculateur!V166*Calculateur!X166*VLOOKUP('Données projet'!$B$9,Paramètres!$A$1:$I$89,3,0)*0.475*44/12</f>
        <v>0</v>
      </c>
      <c r="AB166" s="21">
        <f>EXP(-LN(2)/2)*AB165+(1-EXP(-LN(2)/2))/(LN(2)/2)*V166*Y166*VLOOKUP('Données projet'!$B$9,Paramètres!$A$1:$I$89,3,0)*0.475*44/12</f>
        <v>3.8678250804387599E-19</v>
      </c>
      <c r="AC166" s="22">
        <f t="shared" si="163"/>
        <v>2.1077100409879241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-2.2737367544323206E-13</v>
      </c>
      <c r="AJ166" s="13">
        <f>AI166*VLOOKUP('Données projet'!$B$10,Paramètres!$A$1:$I$89,3,0)*VLOOKUP('Données projet'!$B$10,Paramètres!$A$1:$I$89,5,0)</f>
        <v>-1.915395841933787E-13</v>
      </c>
      <c r="AK166" s="13" t="e">
        <f t="shared" si="164"/>
        <v>#NUM!</v>
      </c>
      <c r="AL166" s="20" t="e">
        <f t="shared" si="165"/>
        <v>#NUM!</v>
      </c>
      <c r="AM166" s="59" t="e">
        <f t="shared" si="113"/>
        <v>#NUM!</v>
      </c>
      <c r="AN166" s="59">
        <f ca="1">AVERAGE(OFFSET($AM$3,0,0,'Données projet'!$E$10+1,1))-AVERAGE(OFFSET($H$3,0,0,'Données projet'!$E$10+1,1))</f>
        <v>382.67703499770795</v>
      </c>
      <c r="AO166" s="59">
        <f t="shared" si="144"/>
        <v>237.98926636458219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137.43310076920633</v>
      </c>
      <c r="AV166" s="21">
        <f>EXP(-LN(2)/25)*AV165+(1-EXP(-LN(2)/25))/(LN(2)/25)*Calculateur!AQ166*Calculateur!AS166*VLOOKUP('Données projet'!$B$10,Paramètres!$A$1:$I$89,3,0)*0.475*44/12</f>
        <v>0</v>
      </c>
      <c r="AW166" s="21">
        <f>EXP(-LN(2)/2)*AW165+(1-EXP(-LN(2)/2))/(LN(2)/2)*AQ166*AT166*VLOOKUP('Données projet'!$B$10,Paramètres!$A$1:$I$89,3,0)*0.475*44/12</f>
        <v>0</v>
      </c>
      <c r="AX166" s="21">
        <f t="shared" si="166"/>
        <v>137.43310076920633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25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89.544000000000239</v>
      </c>
      <c r="D167" s="11">
        <f t="shared" si="140"/>
        <v>24.455216283268463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879.99395025681122</v>
      </c>
      <c r="H167" s="67">
        <f t="shared" si="110"/>
        <v>491.88196836002629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4.5474735088646412E-13</v>
      </c>
      <c r="O167" s="13">
        <f>N167*VLOOKUP('Données projet'!$B$9,Paramètres!$A$1:$I$89,3,0)*VLOOKUP('Données projet'!$B$9,Paramètres!$A$1:$I$89,5,0)</f>
        <v>2.7193891583010558E-13</v>
      </c>
      <c r="P167" s="13">
        <f t="shared" si="141"/>
        <v>3.6362267729089988E-12</v>
      </c>
      <c r="Q167" s="20">
        <f t="shared" si="162"/>
        <v>6.8067219078872727E-12</v>
      </c>
      <c r="R167" s="59">
        <f t="shared" si="109"/>
        <v>293.33333333334014</v>
      </c>
      <c r="S167" s="59">
        <f ca="1">AVERAGE(OFFSET($R$3,0,0,'Données projet'!$E$9+1,1))-AVERAGE(OFFSET($H$3,0,0,'Données projet'!$E$9+1,1))</f>
        <v>252.28378247570731</v>
      </c>
      <c r="T167" s="59">
        <f t="shared" si="142"/>
        <v>263.50418595307343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2.066379132660336</v>
      </c>
      <c r="AA167" s="21">
        <f>EXP(-LN(2)/25)*AA166+(1-EXP(-LN(2)/25))/(LN(2)/25)*Calculateur!V167*Calculateur!X167*VLOOKUP('Données projet'!$B$9,Paramètres!$A$1:$I$89,3,0)*0.475*44/12</f>
        <v>0</v>
      </c>
      <c r="AB167" s="21">
        <f>EXP(-LN(2)/2)*AB166+(1-EXP(-LN(2)/2))/(LN(2)/2)*V167*Y167*VLOOKUP('Données projet'!$B$9,Paramètres!$A$1:$I$89,3,0)*0.475*44/12</f>
        <v>2.7349653428216507E-19</v>
      </c>
      <c r="AC167" s="22">
        <f t="shared" si="163"/>
        <v>2.066379132660336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-2.2737367544323206E-13</v>
      </c>
      <c r="AJ167" s="13">
        <f>AI167*VLOOKUP('Données projet'!$B$10,Paramètres!$A$1:$I$89,3,0)*VLOOKUP('Données projet'!$B$10,Paramètres!$A$1:$I$89,5,0)</f>
        <v>-1.915395841933787E-13</v>
      </c>
      <c r="AK167" s="13" t="e">
        <f t="shared" si="164"/>
        <v>#NUM!</v>
      </c>
      <c r="AL167" s="20" t="e">
        <f t="shared" si="165"/>
        <v>#NUM!</v>
      </c>
      <c r="AM167" s="59" t="e">
        <f t="shared" si="113"/>
        <v>#NUM!</v>
      </c>
      <c r="AN167" s="59">
        <f ca="1">AVERAGE(OFFSET($AM$3,0,0,'Données projet'!$E$10+1,1))-AVERAGE(OFFSET($H$3,0,0,'Données projet'!$E$10+1,1))</f>
        <v>382.67703499770795</v>
      </c>
      <c r="AO167" s="59">
        <f t="shared" si="144"/>
        <v>237.98926636458219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134.73812148903656</v>
      </c>
      <c r="AV167" s="21">
        <f>EXP(-LN(2)/25)*AV166+(1-EXP(-LN(2)/25))/(LN(2)/25)*Calculateur!AQ167*Calculateur!AS167*VLOOKUP('Données projet'!$B$10,Paramètres!$A$1:$I$89,3,0)*0.475*44/12</f>
        <v>0</v>
      </c>
      <c r="AW167" s="21">
        <f>EXP(-LN(2)/2)*AW166+(1-EXP(-LN(2)/2))/(LN(2)/2)*AQ167*AT167*VLOOKUP('Données projet'!$B$10,Paramètres!$A$1:$I$89,3,0)*0.475*44/12</f>
        <v>0</v>
      </c>
      <c r="AX167" s="21">
        <f t="shared" si="166"/>
        <v>134.73812148903656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25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90.090000000000245</v>
      </c>
      <c r="D168" s="11">
        <f t="shared" si="140"/>
        <v>24.586929563904505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885.22542119505431</v>
      </c>
      <c r="H168" s="67">
        <f t="shared" si="110"/>
        <v>493.06231899046742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4.5474735088646412E-13</v>
      </c>
      <c r="O168" s="13">
        <f>N168*VLOOKUP('Données projet'!$B$9,Paramètres!$A$1:$I$89,3,0)*VLOOKUP('Données projet'!$B$9,Paramètres!$A$1:$I$89,5,0)</f>
        <v>2.7193891583010558E-13</v>
      </c>
      <c r="P168" s="13">
        <f t="shared" si="141"/>
        <v>3.6362267729089988E-12</v>
      </c>
      <c r="Q168" s="20">
        <f t="shared" si="162"/>
        <v>6.8067219078872727E-12</v>
      </c>
      <c r="R168" s="59">
        <f t="shared" si="109"/>
        <v>293.33333333334014</v>
      </c>
      <c r="S168" s="59">
        <f ca="1">AVERAGE(OFFSET($R$3,0,0,'Données projet'!$E$9+1,1))-AVERAGE(OFFSET($H$3,0,0,'Données projet'!$E$9+1,1))</f>
        <v>252.28378247570731</v>
      </c>
      <c r="T168" s="59">
        <f t="shared" si="142"/>
        <v>263.50418595307343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2.025858698235687</v>
      </c>
      <c r="AA168" s="21">
        <f>EXP(-LN(2)/25)*AA167+(1-EXP(-LN(2)/25))/(LN(2)/25)*Calculateur!V168*Calculateur!X168*VLOOKUP('Données projet'!$B$9,Paramètres!$A$1:$I$89,3,0)*0.475*44/12</f>
        <v>0</v>
      </c>
      <c r="AB168" s="21">
        <f>EXP(-LN(2)/2)*AB167+(1-EXP(-LN(2)/2))/(LN(2)/2)*V168*Y168*VLOOKUP('Données projet'!$B$9,Paramètres!$A$1:$I$89,3,0)*0.475*44/12</f>
        <v>1.9339125402193799E-19</v>
      </c>
      <c r="AC168" s="22">
        <f t="shared" si="163"/>
        <v>2.025858698235687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-2.2737367544323206E-13</v>
      </c>
      <c r="AJ168" s="13">
        <f>AI168*VLOOKUP('Données projet'!$B$10,Paramètres!$A$1:$I$89,3,0)*VLOOKUP('Données projet'!$B$10,Paramètres!$A$1:$I$89,5,0)</f>
        <v>-1.915395841933787E-13</v>
      </c>
      <c r="AK168" s="13" t="e">
        <f t="shared" si="164"/>
        <v>#NUM!</v>
      </c>
      <c r="AL168" s="20" t="e">
        <f t="shared" si="165"/>
        <v>#NUM!</v>
      </c>
      <c r="AM168" s="59" t="e">
        <f t="shared" si="113"/>
        <v>#NUM!</v>
      </c>
      <c r="AN168" s="59">
        <f ca="1">AVERAGE(OFFSET($AM$3,0,0,'Données projet'!$E$10+1,1))-AVERAGE(OFFSET($H$3,0,0,'Données projet'!$E$10+1,1))</f>
        <v>382.67703499770795</v>
      </c>
      <c r="AO168" s="59">
        <f t="shared" si="144"/>
        <v>237.98926636458219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132.09598910877585</v>
      </c>
      <c r="AV168" s="21">
        <f>EXP(-LN(2)/25)*AV167+(1-EXP(-LN(2)/25))/(LN(2)/25)*Calculateur!AQ168*Calculateur!AS168*VLOOKUP('Données projet'!$B$10,Paramètres!$A$1:$I$89,3,0)*0.475*44/12</f>
        <v>0</v>
      </c>
      <c r="AW168" s="21">
        <f>EXP(-LN(2)/2)*AW167+(1-EXP(-LN(2)/2))/(LN(2)/2)*AQ168*AT168*VLOOKUP('Données projet'!$B$10,Paramètres!$A$1:$I$89,3,0)*0.475*44/12</f>
        <v>0</v>
      </c>
      <c r="AX168" s="21">
        <f t="shared" si="166"/>
        <v>132.09598910877585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25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90.636000000000251</v>
      </c>
      <c r="D169" s="11">
        <f t="shared" si="140"/>
        <v>24.718549958973419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890.45617512190211</v>
      </c>
      <c r="H169" s="67">
        <f t="shared" si="110"/>
        <v>494.24250784521246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4.5474735088646412E-13</v>
      </c>
      <c r="O169" s="13">
        <f>N169*VLOOKUP('Données projet'!$B$9,Paramètres!$A$1:$I$89,3,0)*VLOOKUP('Données projet'!$B$9,Paramètres!$A$1:$I$89,5,0)</f>
        <v>2.7193891583010558E-13</v>
      </c>
      <c r="P169" s="13">
        <f t="shared" si="141"/>
        <v>3.6362267729089988E-12</v>
      </c>
      <c r="Q169" s="20">
        <f t="shared" si="162"/>
        <v>6.8067219078872727E-12</v>
      </c>
      <c r="R169" s="59">
        <f t="shared" si="109"/>
        <v>293.33333333334014</v>
      </c>
      <c r="S169" s="59">
        <f ca="1">AVERAGE(OFFSET($R$3,0,0,'Données projet'!$E$9+1,1))-AVERAGE(OFFSET($H$3,0,0,'Données projet'!$E$9+1,1))</f>
        <v>252.28378247570731</v>
      </c>
      <c r="T169" s="59">
        <f t="shared" si="142"/>
        <v>263.50418595307343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1.9861328448150806</v>
      </c>
      <c r="AA169" s="21">
        <f>EXP(-LN(2)/25)*AA168+(1-EXP(-LN(2)/25))/(LN(2)/25)*Calculateur!V169*Calculateur!X169*VLOOKUP('Données projet'!$B$9,Paramètres!$A$1:$I$89,3,0)*0.475*44/12</f>
        <v>0</v>
      </c>
      <c r="AB169" s="21">
        <f>EXP(-LN(2)/2)*AB168+(1-EXP(-LN(2)/2))/(LN(2)/2)*V169*Y169*VLOOKUP('Données projet'!$B$9,Paramètres!$A$1:$I$89,3,0)*0.475*44/12</f>
        <v>1.3674826714108254E-19</v>
      </c>
      <c r="AC169" s="22">
        <f t="shared" si="163"/>
        <v>1.9861328448150806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-2.2737367544323206E-13</v>
      </c>
      <c r="AJ169" s="13">
        <f>AI169*VLOOKUP('Données projet'!$B$10,Paramètres!$A$1:$I$89,3,0)*VLOOKUP('Données projet'!$B$10,Paramètres!$A$1:$I$89,5,0)</f>
        <v>-1.915395841933787E-13</v>
      </c>
      <c r="AK169" s="13" t="e">
        <f t="shared" si="164"/>
        <v>#NUM!</v>
      </c>
      <c r="AL169" s="20" t="e">
        <f t="shared" si="165"/>
        <v>#NUM!</v>
      </c>
      <c r="AM169" s="59" t="e">
        <f t="shared" si="113"/>
        <v>#NUM!</v>
      </c>
      <c r="AN169" s="59">
        <f ca="1">AVERAGE(OFFSET($AM$3,0,0,'Données projet'!$E$10+1,1))-AVERAGE(OFFSET($H$3,0,0,'Données projet'!$E$10+1,1))</f>
        <v>382.67703499770795</v>
      </c>
      <c r="AO169" s="59">
        <f t="shared" si="144"/>
        <v>237.98926636458219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129.50566733295042</v>
      </c>
      <c r="AV169" s="21">
        <f>EXP(-LN(2)/25)*AV168+(1-EXP(-LN(2)/25))/(LN(2)/25)*Calculateur!AQ169*Calculateur!AS169*VLOOKUP('Données projet'!$B$10,Paramètres!$A$1:$I$89,3,0)*0.475*44/12</f>
        <v>0</v>
      </c>
      <c r="AW169" s="21">
        <f>EXP(-LN(2)/2)*AW168+(1-EXP(-LN(2)/2))/(LN(2)/2)*AQ169*AT169*VLOOKUP('Données projet'!$B$10,Paramètres!$A$1:$I$89,3,0)*0.475*44/12</f>
        <v>0</v>
      </c>
      <c r="AX169" s="21">
        <f t="shared" si="166"/>
        <v>129.50566733295042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25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91.182000000000258</v>
      </c>
      <c r="D170" s="11">
        <f t="shared" si="140"/>
        <v>24.850078092947228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895.68621685784035</v>
      </c>
      <c r="H170" s="67">
        <f t="shared" si="110"/>
        <v>495.42253601188349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4.5474735088646412E-13</v>
      </c>
      <c r="O170" s="13">
        <f>N170*VLOOKUP('Données projet'!$B$9,Paramètres!$A$1:$I$89,3,0)*VLOOKUP('Données projet'!$B$9,Paramètres!$A$1:$I$89,5,0)</f>
        <v>2.7193891583010558E-13</v>
      </c>
      <c r="P170" s="13">
        <f t="shared" si="141"/>
        <v>3.6362267729089988E-12</v>
      </c>
      <c r="Q170" s="20">
        <f t="shared" si="162"/>
        <v>6.8067219078872727E-12</v>
      </c>
      <c r="R170" s="59">
        <f t="shared" si="109"/>
        <v>293.33333333334014</v>
      </c>
      <c r="S170" s="59">
        <f ca="1">AVERAGE(OFFSET($R$3,0,0,'Données projet'!$E$9+1,1))-AVERAGE(OFFSET($H$3,0,0,'Données projet'!$E$9+1,1))</f>
        <v>252.28378247570731</v>
      </c>
      <c r="T170" s="59">
        <f t="shared" si="142"/>
        <v>263.50418595307343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1.9471859911496743</v>
      </c>
      <c r="AA170" s="21">
        <f>EXP(-LN(2)/25)*AA169+(1-EXP(-LN(2)/25))/(LN(2)/25)*Calculateur!V170*Calculateur!X170*VLOOKUP('Données projet'!$B$9,Paramètres!$A$1:$I$89,3,0)*0.475*44/12</f>
        <v>0</v>
      </c>
      <c r="AB170" s="21">
        <f>EXP(-LN(2)/2)*AB169+(1-EXP(-LN(2)/2))/(LN(2)/2)*V170*Y170*VLOOKUP('Données projet'!$B$9,Paramètres!$A$1:$I$89,3,0)*0.475*44/12</f>
        <v>9.6695627010968997E-20</v>
      </c>
      <c r="AC170" s="22">
        <f t="shared" si="163"/>
        <v>1.9471859911496743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-2.2737367544323206E-13</v>
      </c>
      <c r="AJ170" s="13">
        <f>AI170*VLOOKUP('Données projet'!$B$10,Paramètres!$A$1:$I$89,3,0)*VLOOKUP('Données projet'!$B$10,Paramètres!$A$1:$I$89,5,0)</f>
        <v>-1.915395841933787E-13</v>
      </c>
      <c r="AK170" s="13" t="e">
        <f t="shared" si="164"/>
        <v>#NUM!</v>
      </c>
      <c r="AL170" s="20" t="e">
        <f t="shared" si="165"/>
        <v>#NUM!</v>
      </c>
      <c r="AM170" s="59" t="e">
        <f t="shared" si="113"/>
        <v>#NUM!</v>
      </c>
      <c r="AN170" s="59">
        <f ca="1">AVERAGE(OFFSET($AM$3,0,0,'Données projet'!$E$10+1,1))-AVERAGE(OFFSET($H$3,0,0,'Données projet'!$E$10+1,1))</f>
        <v>382.67703499770795</v>
      </c>
      <c r="AO170" s="59">
        <f t="shared" si="144"/>
        <v>237.98926636458219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126.96614018720867</v>
      </c>
      <c r="AV170" s="21">
        <f>EXP(-LN(2)/25)*AV169+(1-EXP(-LN(2)/25))/(LN(2)/25)*Calculateur!AQ170*Calculateur!AS170*VLOOKUP('Données projet'!$B$10,Paramètres!$A$1:$I$89,3,0)*0.475*44/12</f>
        <v>0</v>
      </c>
      <c r="AW170" s="21">
        <f>EXP(-LN(2)/2)*AW169+(1-EXP(-LN(2)/2))/(LN(2)/2)*AQ170*AT170*VLOOKUP('Données projet'!$B$10,Paramètres!$A$1:$I$89,3,0)*0.475*44/12</f>
        <v>0</v>
      </c>
      <c r="AX170" s="21">
        <f t="shared" si="166"/>
        <v>126.96614018720867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25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91.728000000000264</v>
      </c>
      <c r="D171" s="11">
        <f t="shared" si="140"/>
        <v>24.981514582386627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900.91555116228483</v>
      </c>
      <c r="H171" s="67">
        <f t="shared" si="110"/>
        <v>496.60240456432382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4.5474735088646412E-13</v>
      </c>
      <c r="O171" s="13">
        <f>N171*VLOOKUP('Données projet'!$B$9,Paramètres!$A$1:$I$89,3,0)*VLOOKUP('Données projet'!$B$9,Paramètres!$A$1:$I$89,5,0)</f>
        <v>2.7193891583010558E-13</v>
      </c>
      <c r="P171" s="13">
        <f t="shared" si="141"/>
        <v>3.6362267729089988E-12</v>
      </c>
      <c r="Q171" s="20">
        <f t="shared" si="162"/>
        <v>6.8067219078872727E-12</v>
      </c>
      <c r="R171" s="59">
        <f t="shared" si="109"/>
        <v>293.33333333334014</v>
      </c>
      <c r="S171" s="59">
        <f ca="1">AVERAGE(OFFSET($R$3,0,0,'Données projet'!$E$9+1,1))-AVERAGE(OFFSET($H$3,0,0,'Données projet'!$E$9+1,1))</f>
        <v>252.28378247570731</v>
      </c>
      <c r="T171" s="59">
        <f t="shared" si="142"/>
        <v>263.50418595307343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1.9090028615294115</v>
      </c>
      <c r="AA171" s="21">
        <f>EXP(-LN(2)/25)*AA170+(1-EXP(-LN(2)/25))/(LN(2)/25)*Calculateur!V171*Calculateur!X171*VLOOKUP('Données projet'!$B$9,Paramètres!$A$1:$I$89,3,0)*0.475*44/12</f>
        <v>0</v>
      </c>
      <c r="AB171" s="21">
        <f>EXP(-LN(2)/2)*AB170+(1-EXP(-LN(2)/2))/(LN(2)/2)*V171*Y171*VLOOKUP('Données projet'!$B$9,Paramètres!$A$1:$I$89,3,0)*0.475*44/12</f>
        <v>6.8374133570541268E-20</v>
      </c>
      <c r="AC171" s="22">
        <f t="shared" si="163"/>
        <v>1.9090028615294115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-2.2737367544323206E-13</v>
      </c>
      <c r="AJ171" s="13">
        <f>AI171*VLOOKUP('Données projet'!$B$10,Paramètres!$A$1:$I$89,3,0)*VLOOKUP('Données projet'!$B$10,Paramètres!$A$1:$I$89,5,0)</f>
        <v>-1.915395841933787E-13</v>
      </c>
      <c r="AK171" s="13" t="e">
        <f t="shared" si="164"/>
        <v>#NUM!</v>
      </c>
      <c r="AL171" s="20" t="e">
        <f t="shared" si="165"/>
        <v>#NUM!</v>
      </c>
      <c r="AM171" s="59" t="e">
        <f t="shared" si="113"/>
        <v>#NUM!</v>
      </c>
      <c r="AN171" s="59">
        <f ca="1">AVERAGE(OFFSET($AM$3,0,0,'Données projet'!$E$10+1,1))-AVERAGE(OFFSET($H$3,0,0,'Données projet'!$E$10+1,1))</f>
        <v>382.67703499770795</v>
      </c>
      <c r="AO171" s="59">
        <f t="shared" si="144"/>
        <v>237.98926636458219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124.47641161983628</v>
      </c>
      <c r="AV171" s="21">
        <f>EXP(-LN(2)/25)*AV170+(1-EXP(-LN(2)/25))/(LN(2)/25)*Calculateur!AQ171*Calculateur!AS171*VLOOKUP('Données projet'!$B$10,Paramètres!$A$1:$I$89,3,0)*0.475*44/12</f>
        <v>0</v>
      </c>
      <c r="AW171" s="21">
        <f>EXP(-LN(2)/2)*AW170+(1-EXP(-LN(2)/2))/(LN(2)/2)*AQ171*AT171*VLOOKUP('Données projet'!$B$10,Paramètres!$A$1:$I$89,3,0)*0.475*44/12</f>
        <v>0</v>
      </c>
      <c r="AX171" s="21">
        <f t="shared" si="166"/>
        <v>124.47641161983628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25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92.274000000000271</v>
      </c>
      <c r="D172" s="11">
        <f t="shared" si="140"/>
        <v>25.112860036087632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906.14418273471358</v>
      </c>
      <c r="H172" s="67">
        <f t="shared" si="110"/>
        <v>497.78211456285305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4.5474735088646412E-13</v>
      </c>
      <c r="O172" s="13">
        <f>N172*VLOOKUP('Données projet'!$B$9,Paramètres!$A$1:$I$89,3,0)*VLOOKUP('Données projet'!$B$9,Paramètres!$A$1:$I$89,5,0)</f>
        <v>2.7193891583010558E-13</v>
      </c>
      <c r="P172" s="13">
        <f t="shared" si="141"/>
        <v>3.6362267729089988E-12</v>
      </c>
      <c r="Q172" s="20">
        <f t="shared" si="162"/>
        <v>6.8067219078872727E-12</v>
      </c>
      <c r="R172" s="59">
        <f t="shared" si="109"/>
        <v>293.33333333334014</v>
      </c>
      <c r="S172" s="59">
        <f ca="1">AVERAGE(OFFSET($R$3,0,0,'Données projet'!$E$9+1,1))-AVERAGE(OFFSET($H$3,0,0,'Données projet'!$E$9+1,1))</f>
        <v>252.28378247570731</v>
      </c>
      <c r="T172" s="59">
        <f t="shared" si="142"/>
        <v>263.50418595307343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1.8715684797915926</v>
      </c>
      <c r="AA172" s="21">
        <f>EXP(-LN(2)/25)*AA171+(1-EXP(-LN(2)/25))/(LN(2)/25)*Calculateur!V172*Calculateur!X172*VLOOKUP('Données projet'!$B$9,Paramètres!$A$1:$I$89,3,0)*0.475*44/12</f>
        <v>0</v>
      </c>
      <c r="AB172" s="21">
        <f>EXP(-LN(2)/2)*AB171+(1-EXP(-LN(2)/2))/(LN(2)/2)*V172*Y172*VLOOKUP('Données projet'!$B$9,Paramètres!$A$1:$I$89,3,0)*0.475*44/12</f>
        <v>4.8347813505484499E-20</v>
      </c>
      <c r="AC172" s="22">
        <f t="shared" si="163"/>
        <v>1.8715684797915926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-2.2737367544323206E-13</v>
      </c>
      <c r="AJ172" s="13">
        <f>AI172*VLOOKUP('Données projet'!$B$10,Paramètres!$A$1:$I$89,3,0)*VLOOKUP('Données projet'!$B$10,Paramètres!$A$1:$I$89,5,0)</f>
        <v>-1.915395841933787E-13</v>
      </c>
      <c r="AK172" s="13" t="e">
        <f t="shared" si="164"/>
        <v>#NUM!</v>
      </c>
      <c r="AL172" s="20" t="e">
        <f t="shared" si="165"/>
        <v>#NUM!</v>
      </c>
      <c r="AM172" s="59" t="e">
        <f t="shared" si="113"/>
        <v>#NUM!</v>
      </c>
      <c r="AN172" s="59">
        <f ca="1">AVERAGE(OFFSET($AM$3,0,0,'Données projet'!$E$10+1,1))-AVERAGE(OFFSET($H$3,0,0,'Données projet'!$E$10+1,1))</f>
        <v>382.67703499770795</v>
      </c>
      <c r="AO172" s="59">
        <f t="shared" si="144"/>
        <v>237.98926636458219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122.0355051110856</v>
      </c>
      <c r="AV172" s="21">
        <f>EXP(-LN(2)/25)*AV171+(1-EXP(-LN(2)/25))/(LN(2)/25)*Calculateur!AQ172*Calculateur!AS172*VLOOKUP('Données projet'!$B$10,Paramètres!$A$1:$I$89,3,0)*0.475*44/12</f>
        <v>0</v>
      </c>
      <c r="AW172" s="21">
        <f>EXP(-LN(2)/2)*AW171+(1-EXP(-LN(2)/2))/(LN(2)/2)*AQ172*AT172*VLOOKUP('Données projet'!$B$10,Paramètres!$A$1:$I$89,3,0)*0.475*44/12</f>
        <v>0</v>
      </c>
      <c r="AX172" s="21">
        <f t="shared" si="166"/>
        <v>122.0355051110856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25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92.820000000000277</v>
      </c>
      <c r="D173" s="11">
        <f t="shared" si="140"/>
        <v>25.244115055224771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911.37211621577228</v>
      </c>
      <c r="H173" s="67">
        <f t="shared" si="110"/>
        <v>498.96166705451697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4.5474735088646412E-13</v>
      </c>
      <c r="O173" s="13">
        <f>N173*VLOOKUP('Données projet'!$B$9,Paramètres!$A$1:$I$89,3,0)*VLOOKUP('Données projet'!$B$9,Paramètres!$A$1:$I$89,5,0)</f>
        <v>2.7193891583010558E-13</v>
      </c>
      <c r="P173" s="13">
        <f t="shared" si="141"/>
        <v>3.6362267729089988E-12</v>
      </c>
      <c r="Q173" s="20">
        <f t="shared" si="162"/>
        <v>6.8067219078872727E-12</v>
      </c>
      <c r="R173" s="59">
        <f t="shared" si="109"/>
        <v>293.33333333334014</v>
      </c>
      <c r="S173" s="59">
        <f ca="1">AVERAGE(OFFSET($R$3,0,0,'Données projet'!$E$9+1,1))-AVERAGE(OFFSET($H$3,0,0,'Données projet'!$E$9+1,1))</f>
        <v>252.28378247570731</v>
      </c>
      <c r="T173" s="59">
        <f t="shared" si="142"/>
        <v>263.50418595307343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1.8348681634469339</v>
      </c>
      <c r="AA173" s="21">
        <f>EXP(-LN(2)/25)*AA172+(1-EXP(-LN(2)/25))/(LN(2)/25)*Calculateur!V173*Calculateur!X173*VLOOKUP('Données projet'!$B$9,Paramètres!$A$1:$I$89,3,0)*0.475*44/12</f>
        <v>0</v>
      </c>
      <c r="AB173" s="21">
        <f>EXP(-LN(2)/2)*AB172+(1-EXP(-LN(2)/2))/(LN(2)/2)*V173*Y173*VLOOKUP('Données projet'!$B$9,Paramètres!$A$1:$I$89,3,0)*0.475*44/12</f>
        <v>3.4187066785270634E-20</v>
      </c>
      <c r="AC173" s="22">
        <f t="shared" si="163"/>
        <v>1.8348681634469339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-2.2737367544323206E-13</v>
      </c>
      <c r="AJ173" s="13">
        <f>AI173*VLOOKUP('Données projet'!$B$10,Paramètres!$A$1:$I$89,3,0)*VLOOKUP('Données projet'!$B$10,Paramètres!$A$1:$I$89,5,0)</f>
        <v>-1.915395841933787E-13</v>
      </c>
      <c r="AK173" s="13" t="e">
        <f t="shared" si="164"/>
        <v>#NUM!</v>
      </c>
      <c r="AL173" s="20" t="e">
        <f t="shared" si="165"/>
        <v>#NUM!</v>
      </c>
      <c r="AM173" s="59" t="e">
        <f t="shared" si="113"/>
        <v>#NUM!</v>
      </c>
      <c r="AN173" s="59">
        <f ca="1">AVERAGE(OFFSET($AM$3,0,0,'Données projet'!$E$10+1,1))-AVERAGE(OFFSET($H$3,0,0,'Données projet'!$E$10+1,1))</f>
        <v>382.67703499770795</v>
      </c>
      <c r="AO173" s="59">
        <f t="shared" si="144"/>
        <v>237.98926636458219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119.64246329016555</v>
      </c>
      <c r="AV173" s="21">
        <f>EXP(-LN(2)/25)*AV172+(1-EXP(-LN(2)/25))/(LN(2)/25)*Calculateur!AQ173*Calculateur!AS173*VLOOKUP('Données projet'!$B$10,Paramètres!$A$1:$I$89,3,0)*0.475*44/12</f>
        <v>0</v>
      </c>
      <c r="AW173" s="21">
        <f>EXP(-LN(2)/2)*AW172+(1-EXP(-LN(2)/2))/(LN(2)/2)*AQ173*AT173*VLOOKUP('Données projet'!$B$10,Paramètres!$A$1:$I$89,3,0)*0.475*44/12</f>
        <v>0</v>
      </c>
      <c r="AX173" s="21">
        <f t="shared" si="166"/>
        <v>119.64246329016555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25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93.366000000000284</v>
      </c>
      <c r="D174" s="11">
        <f t="shared" si="140"/>
        <v>25.375280233490745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916.59935618835186</v>
      </c>
      <c r="H174" s="67">
        <f t="shared" si="110"/>
        <v>500.1410630733302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4.5474735088646412E-13</v>
      </c>
      <c r="O174" s="13">
        <f>N174*VLOOKUP('Données projet'!$B$9,Paramètres!$A$1:$I$89,3,0)*VLOOKUP('Données projet'!$B$9,Paramètres!$A$1:$I$89,5,0)</f>
        <v>2.7193891583010558E-13</v>
      </c>
      <c r="P174" s="13">
        <f t="shared" si="141"/>
        <v>3.6362267729089988E-12</v>
      </c>
      <c r="Q174" s="20">
        <f t="shared" si="162"/>
        <v>6.8067219078872727E-12</v>
      </c>
      <c r="R174" s="59">
        <f t="shared" si="109"/>
        <v>293.33333333334014</v>
      </c>
      <c r="S174" s="59">
        <f ca="1">AVERAGE(OFFSET($R$3,0,0,'Données projet'!$E$9+1,1))-AVERAGE(OFFSET($H$3,0,0,'Données projet'!$E$9+1,1))</f>
        <v>252.28378247570731</v>
      </c>
      <c r="T174" s="59">
        <f t="shared" si="142"/>
        <v>263.50418595307343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1.7988875179208115</v>
      </c>
      <c r="AA174" s="21">
        <f>EXP(-LN(2)/25)*AA173+(1-EXP(-LN(2)/25))/(LN(2)/25)*Calculateur!V174*Calculateur!X174*VLOOKUP('Données projet'!$B$9,Paramètres!$A$1:$I$89,3,0)*0.475*44/12</f>
        <v>0</v>
      </c>
      <c r="AB174" s="21">
        <f>EXP(-LN(2)/2)*AB173+(1-EXP(-LN(2)/2))/(LN(2)/2)*V174*Y174*VLOOKUP('Données projet'!$B$9,Paramètres!$A$1:$I$89,3,0)*0.475*44/12</f>
        <v>2.4173906752742249E-20</v>
      </c>
      <c r="AC174" s="22">
        <f t="shared" si="163"/>
        <v>1.7988875179208115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-2.2737367544323206E-13</v>
      </c>
      <c r="AJ174" s="13">
        <f>AI174*VLOOKUP('Données projet'!$B$10,Paramètres!$A$1:$I$89,3,0)*VLOOKUP('Données projet'!$B$10,Paramètres!$A$1:$I$89,5,0)</f>
        <v>-1.915395841933787E-13</v>
      </c>
      <c r="AK174" s="13" t="e">
        <f t="shared" si="164"/>
        <v>#NUM!</v>
      </c>
      <c r="AL174" s="20" t="e">
        <f t="shared" si="165"/>
        <v>#NUM!</v>
      </c>
      <c r="AM174" s="59" t="e">
        <f t="shared" si="113"/>
        <v>#NUM!</v>
      </c>
      <c r="AN174" s="59">
        <f ca="1">AVERAGE(OFFSET($AM$3,0,0,'Données projet'!$E$10+1,1))-AVERAGE(OFFSET($H$3,0,0,'Données projet'!$E$10+1,1))</f>
        <v>382.67703499770795</v>
      </c>
      <c r="AO174" s="59">
        <f t="shared" si="144"/>
        <v>237.98926636458219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117.29634755974236</v>
      </c>
      <c r="AV174" s="21">
        <f>EXP(-LN(2)/25)*AV173+(1-EXP(-LN(2)/25))/(LN(2)/25)*Calculateur!AQ174*Calculateur!AS174*VLOOKUP('Données projet'!$B$10,Paramètres!$A$1:$I$89,3,0)*0.475*44/12</f>
        <v>0</v>
      </c>
      <c r="AW174" s="21">
        <f>EXP(-LN(2)/2)*AW173+(1-EXP(-LN(2)/2))/(LN(2)/2)*AQ174*AT174*VLOOKUP('Données projet'!$B$10,Paramètres!$A$1:$I$89,3,0)*0.475*44/12</f>
        <v>0</v>
      </c>
      <c r="AX174" s="21">
        <f t="shared" si="166"/>
        <v>117.29634755974236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25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93.91200000000029</v>
      </c>
      <c r="D175" s="11">
        <f t="shared" si="140"/>
        <v>25.506356157232712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921.8259071786407</v>
      </c>
      <c r="H175" s="67">
        <f t="shared" si="110"/>
        <v>501.32030364051411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4.5474735088646412E-13</v>
      </c>
      <c r="O175" s="13">
        <f>N175*VLOOKUP('Données projet'!$B$9,Paramètres!$A$1:$I$89,3,0)*VLOOKUP('Données projet'!$B$9,Paramètres!$A$1:$I$89,5,0)</f>
        <v>2.7193891583010558E-13</v>
      </c>
      <c r="P175" s="13">
        <f t="shared" si="141"/>
        <v>3.6362267729089988E-12</v>
      </c>
      <c r="Q175" s="20">
        <f t="shared" si="162"/>
        <v>6.8067219078872727E-12</v>
      </c>
      <c r="R175" s="59">
        <f t="shared" si="109"/>
        <v>293.33333333334014</v>
      </c>
      <c r="S175" s="59">
        <f ca="1">AVERAGE(OFFSET($R$3,0,0,'Données projet'!$E$9+1,1))-AVERAGE(OFFSET($H$3,0,0,'Données projet'!$E$9+1,1))</f>
        <v>252.28378247570731</v>
      </c>
      <c r="T175" s="59">
        <f t="shared" si="142"/>
        <v>263.50418595307343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1.7636124309074295</v>
      </c>
      <c r="AA175" s="21">
        <f>EXP(-LN(2)/25)*AA174+(1-EXP(-LN(2)/25))/(LN(2)/25)*Calculateur!V175*Calculateur!X175*VLOOKUP('Données projet'!$B$9,Paramètres!$A$1:$I$89,3,0)*0.475*44/12</f>
        <v>0</v>
      </c>
      <c r="AB175" s="21">
        <f>EXP(-LN(2)/2)*AB174+(1-EXP(-LN(2)/2))/(LN(2)/2)*V175*Y175*VLOOKUP('Données projet'!$B$9,Paramètres!$A$1:$I$89,3,0)*0.475*44/12</f>
        <v>1.7093533392635317E-20</v>
      </c>
      <c r="AC175" s="22">
        <f t="shared" si="163"/>
        <v>1.7636124309074295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-2.2737367544323206E-13</v>
      </c>
      <c r="AJ175" s="13">
        <f>AI175*VLOOKUP('Données projet'!$B$10,Paramètres!$A$1:$I$89,3,0)*VLOOKUP('Données projet'!$B$10,Paramètres!$A$1:$I$89,5,0)</f>
        <v>-1.915395841933787E-13</v>
      </c>
      <c r="AK175" s="13" t="e">
        <f t="shared" si="164"/>
        <v>#NUM!</v>
      </c>
      <c r="AL175" s="20" t="e">
        <f t="shared" si="165"/>
        <v>#NUM!</v>
      </c>
      <c r="AM175" s="59" t="e">
        <f t="shared" si="113"/>
        <v>#NUM!</v>
      </c>
      <c r="AN175" s="59">
        <f ca="1">AVERAGE(OFFSET($AM$3,0,0,'Données projet'!$E$10+1,1))-AVERAGE(OFFSET($H$3,0,0,'Données projet'!$E$10+1,1))</f>
        <v>382.67703499770795</v>
      </c>
      <c r="AO175" s="59">
        <f t="shared" si="144"/>
        <v>237.98926636458219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114.99623772780346</v>
      </c>
      <c r="AV175" s="21">
        <f>EXP(-LN(2)/25)*AV174+(1-EXP(-LN(2)/25))/(LN(2)/25)*Calculateur!AQ175*Calculateur!AS175*VLOOKUP('Données projet'!$B$10,Paramètres!$A$1:$I$89,3,0)*0.475*44/12</f>
        <v>0</v>
      </c>
      <c r="AW175" s="21">
        <f>EXP(-LN(2)/2)*AW174+(1-EXP(-LN(2)/2))/(LN(2)/2)*AQ175*AT175*VLOOKUP('Données projet'!$B$10,Paramètres!$A$1:$I$89,3,0)*0.475*44/12</f>
        <v>0</v>
      </c>
      <c r="AX175" s="21">
        <f t="shared" si="166"/>
        <v>114.99623772780346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25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94.458000000000297</v>
      </c>
      <c r="D176" s="11">
        <f t="shared" si="140"/>
        <v>25.637343405585391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927.05177365715269</v>
      </c>
      <c r="H176" s="67">
        <f t="shared" si="110"/>
        <v>502.49938976472833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4.5474735088646412E-13</v>
      </c>
      <c r="O176" s="13">
        <f>N176*VLOOKUP('Données projet'!$B$9,Paramètres!$A$1:$I$89,3,0)*VLOOKUP('Données projet'!$B$9,Paramètres!$A$1:$I$89,5,0)</f>
        <v>2.7193891583010558E-13</v>
      </c>
      <c r="P176" s="13">
        <f t="shared" si="141"/>
        <v>3.6362267729089988E-12</v>
      </c>
      <c r="Q176" s="20">
        <f t="shared" si="162"/>
        <v>6.8067219078872727E-12</v>
      </c>
      <c r="R176" s="59">
        <f t="shared" si="109"/>
        <v>293.33333333334014</v>
      </c>
      <c r="S176" s="59">
        <f ca="1">AVERAGE(OFFSET($R$3,0,0,'Données projet'!$E$9+1,1))-AVERAGE(OFFSET($H$3,0,0,'Données projet'!$E$9+1,1))</f>
        <v>252.28378247570731</v>
      </c>
      <c r="T176" s="59">
        <f t="shared" si="142"/>
        <v>263.50418595307343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1.7290290668347013</v>
      </c>
      <c r="AA176" s="21">
        <f>EXP(-LN(2)/25)*AA175+(1-EXP(-LN(2)/25))/(LN(2)/25)*Calculateur!V176*Calculateur!X176*VLOOKUP('Données projet'!$B$9,Paramètres!$A$1:$I$89,3,0)*0.475*44/12</f>
        <v>0</v>
      </c>
      <c r="AB176" s="21">
        <f>EXP(-LN(2)/2)*AB175+(1-EXP(-LN(2)/2))/(LN(2)/2)*V176*Y176*VLOOKUP('Données projet'!$B$9,Paramètres!$A$1:$I$89,3,0)*0.475*44/12</f>
        <v>1.2086953376371125E-20</v>
      </c>
      <c r="AC176" s="22">
        <f t="shared" si="163"/>
        <v>1.7290290668347013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-2.2737367544323206E-13</v>
      </c>
      <c r="AJ176" s="13">
        <f>AI176*VLOOKUP('Données projet'!$B$10,Paramètres!$A$1:$I$89,3,0)*VLOOKUP('Données projet'!$B$10,Paramètres!$A$1:$I$89,5,0)</f>
        <v>-1.915395841933787E-13</v>
      </c>
      <c r="AK176" s="13" t="e">
        <f t="shared" si="164"/>
        <v>#NUM!</v>
      </c>
      <c r="AL176" s="20" t="e">
        <f t="shared" si="165"/>
        <v>#NUM!</v>
      </c>
      <c r="AM176" s="59" t="e">
        <f t="shared" si="113"/>
        <v>#NUM!</v>
      </c>
      <c r="AN176" s="59">
        <f ca="1">AVERAGE(OFFSET($AM$3,0,0,'Données projet'!$E$10+1,1))-AVERAGE(OFFSET($H$3,0,0,'Données projet'!$E$10+1,1))</f>
        <v>382.67703499770795</v>
      </c>
      <c r="AO176" s="59">
        <f t="shared" si="144"/>
        <v>237.98926636458219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112.74123164674042</v>
      </c>
      <c r="AV176" s="21">
        <f>EXP(-LN(2)/25)*AV175+(1-EXP(-LN(2)/25))/(LN(2)/25)*Calculateur!AQ176*Calculateur!AS176*VLOOKUP('Données projet'!$B$10,Paramètres!$A$1:$I$89,3,0)*0.475*44/12</f>
        <v>0</v>
      </c>
      <c r="AW176" s="21">
        <f>EXP(-LN(2)/2)*AW175+(1-EXP(-LN(2)/2))/(LN(2)/2)*AQ176*AT176*VLOOKUP('Données projet'!$B$10,Paramètres!$A$1:$I$89,3,0)*0.475*44/12</f>
        <v>0</v>
      </c>
      <c r="AX176" s="21">
        <f t="shared" si="166"/>
        <v>112.74123164674042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25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95.004000000000303</v>
      </c>
      <c r="D177" s="11">
        <f t="shared" si="140"/>
        <v>25.768242550600831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932.27696003972812</v>
      </c>
      <c r="H177" s="67">
        <f t="shared" si="110"/>
        <v>503.67832244229692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4.5474735088646412E-13</v>
      </c>
      <c r="O177" s="13">
        <f>N177*VLOOKUP('Données projet'!$B$9,Paramètres!$A$1:$I$89,3,0)*VLOOKUP('Données projet'!$B$9,Paramètres!$A$1:$I$89,5,0)</f>
        <v>2.7193891583010558E-13</v>
      </c>
      <c r="P177" s="13">
        <f t="shared" si="141"/>
        <v>3.6362267729089988E-12</v>
      </c>
      <c r="Q177" s="20">
        <f t="shared" si="162"/>
        <v>6.8067219078872727E-12</v>
      </c>
      <c r="R177" s="59">
        <f t="shared" si="109"/>
        <v>293.33333333334014</v>
      </c>
      <c r="S177" s="59">
        <f ca="1">AVERAGE(OFFSET($R$3,0,0,'Données projet'!$E$9+1,1))-AVERAGE(OFFSET($H$3,0,0,'Données projet'!$E$9+1,1))</f>
        <v>252.28378247570731</v>
      </c>
      <c r="T177" s="59">
        <f t="shared" si="142"/>
        <v>263.50418595307343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1.69512386143767</v>
      </c>
      <c r="AA177" s="21">
        <f>EXP(-LN(2)/25)*AA176+(1-EXP(-LN(2)/25))/(LN(2)/25)*Calculateur!V177*Calculateur!X177*VLOOKUP('Données projet'!$B$9,Paramètres!$A$1:$I$89,3,0)*0.475*44/12</f>
        <v>0</v>
      </c>
      <c r="AB177" s="21">
        <f>EXP(-LN(2)/2)*AB176+(1-EXP(-LN(2)/2))/(LN(2)/2)*V177*Y177*VLOOKUP('Données projet'!$B$9,Paramètres!$A$1:$I$89,3,0)*0.475*44/12</f>
        <v>8.5467666963176586E-21</v>
      </c>
      <c r="AC177" s="22">
        <f t="shared" si="163"/>
        <v>1.69512386143767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-2.2737367544323206E-13</v>
      </c>
      <c r="AJ177" s="13">
        <f>AI177*VLOOKUP('Données projet'!$B$10,Paramètres!$A$1:$I$89,3,0)*VLOOKUP('Données projet'!$B$10,Paramètres!$A$1:$I$89,5,0)</f>
        <v>-1.915395841933787E-13</v>
      </c>
      <c r="AK177" s="13" t="e">
        <f t="shared" si="164"/>
        <v>#NUM!</v>
      </c>
      <c r="AL177" s="20" t="e">
        <f t="shared" si="165"/>
        <v>#NUM!</v>
      </c>
      <c r="AM177" s="59" t="e">
        <f t="shared" si="113"/>
        <v>#NUM!</v>
      </c>
      <c r="AN177" s="59">
        <f ca="1">AVERAGE(OFFSET($AM$3,0,0,'Données projet'!$E$10+1,1))-AVERAGE(OFFSET($H$3,0,0,'Données projet'!$E$10+1,1))</f>
        <v>382.67703499770795</v>
      </c>
      <c r="AO177" s="59">
        <f t="shared" si="144"/>
        <v>237.98926636458219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110.53044485950913</v>
      </c>
      <c r="AV177" s="21">
        <f>EXP(-LN(2)/25)*AV176+(1-EXP(-LN(2)/25))/(LN(2)/25)*Calculateur!AQ177*Calculateur!AS177*VLOOKUP('Données projet'!$B$10,Paramètres!$A$1:$I$89,3,0)*0.475*44/12</f>
        <v>0</v>
      </c>
      <c r="AW177" s="21">
        <f>EXP(-LN(2)/2)*AW176+(1-EXP(-LN(2)/2))/(LN(2)/2)*AQ177*AT177*VLOOKUP('Données projet'!$B$10,Paramètres!$A$1:$I$89,3,0)*0.475*44/12</f>
        <v>0</v>
      </c>
      <c r="AX177" s="21">
        <f t="shared" si="166"/>
        <v>110.53044485950913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25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95.55000000000031</v>
      </c>
      <c r="D178" s="11">
        <f t="shared" si="140"/>
        <v>25.89905415737541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937.50147068851436</v>
      </c>
      <c r="H178" s="67">
        <f t="shared" si="110"/>
        <v>504.85710265742932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4.5474735088646412E-13</v>
      </c>
      <c r="O178" s="13">
        <f>N178*VLOOKUP('Données projet'!$B$9,Paramètres!$A$1:$I$89,3,0)*VLOOKUP('Données projet'!$B$9,Paramètres!$A$1:$I$89,5,0)</f>
        <v>2.7193891583010558E-13</v>
      </c>
      <c r="P178" s="13">
        <f t="shared" si="141"/>
        <v>3.6362267729089988E-12</v>
      </c>
      <c r="Q178" s="20">
        <f t="shared" si="162"/>
        <v>6.8067219078872727E-12</v>
      </c>
      <c r="R178" s="59">
        <f t="shared" si="109"/>
        <v>293.33333333334014</v>
      </c>
      <c r="S178" s="59">
        <f ca="1">AVERAGE(OFFSET($R$3,0,0,'Données projet'!$E$9+1,1))-AVERAGE(OFFSET($H$3,0,0,'Données projet'!$E$9+1,1))</f>
        <v>252.28378247570731</v>
      </c>
      <c r="T178" s="59">
        <f t="shared" si="142"/>
        <v>263.50418595307343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1.6618835164383414</v>
      </c>
      <c r="AA178" s="21">
        <f>EXP(-LN(2)/25)*AA177+(1-EXP(-LN(2)/25))/(LN(2)/25)*Calculateur!V178*Calculateur!X178*VLOOKUP('Données projet'!$B$9,Paramètres!$A$1:$I$89,3,0)*0.475*44/12</f>
        <v>0</v>
      </c>
      <c r="AB178" s="21">
        <f>EXP(-LN(2)/2)*AB177+(1-EXP(-LN(2)/2))/(LN(2)/2)*V178*Y178*VLOOKUP('Données projet'!$B$9,Paramètres!$A$1:$I$89,3,0)*0.475*44/12</f>
        <v>6.0434766881855623E-21</v>
      </c>
      <c r="AC178" s="22">
        <f t="shared" si="163"/>
        <v>1.6618835164383414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-2.2737367544323206E-13</v>
      </c>
      <c r="AJ178" s="13">
        <f>AI178*VLOOKUP('Données projet'!$B$10,Paramètres!$A$1:$I$89,3,0)*VLOOKUP('Données projet'!$B$10,Paramètres!$A$1:$I$89,5,0)</f>
        <v>-1.915395841933787E-13</v>
      </c>
      <c r="AK178" s="13" t="e">
        <f t="shared" si="164"/>
        <v>#NUM!</v>
      </c>
      <c r="AL178" s="20" t="e">
        <f t="shared" si="165"/>
        <v>#NUM!</v>
      </c>
      <c r="AM178" s="59" t="e">
        <f t="shared" si="113"/>
        <v>#NUM!</v>
      </c>
      <c r="AN178" s="59">
        <f ca="1">AVERAGE(OFFSET($AM$3,0,0,'Données projet'!$E$10+1,1))-AVERAGE(OFFSET($H$3,0,0,'Données projet'!$E$10+1,1))</f>
        <v>382.67703499770795</v>
      </c>
      <c r="AO178" s="59">
        <f t="shared" si="144"/>
        <v>237.98926636458219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108.36301025272866</v>
      </c>
      <c r="AV178" s="21">
        <f>EXP(-LN(2)/25)*AV177+(1-EXP(-LN(2)/25))/(LN(2)/25)*Calculateur!AQ178*Calculateur!AS178*VLOOKUP('Données projet'!$B$10,Paramètres!$A$1:$I$89,3,0)*0.475*44/12</f>
        <v>0</v>
      </c>
      <c r="AW178" s="21">
        <f>EXP(-LN(2)/2)*AW177+(1-EXP(-LN(2)/2))/(LN(2)/2)*AQ178*AT178*VLOOKUP('Données projet'!$B$10,Paramètres!$A$1:$I$89,3,0)*0.475*44/12</f>
        <v>0</v>
      </c>
      <c r="AX178" s="21">
        <f t="shared" si="166"/>
        <v>108.36301025272866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25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96.096000000000316</v>
      </c>
      <c r="D179" s="11">
        <f t="shared" si="140"/>
        <v>26.029778784173445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942.72530991292024</v>
      </c>
      <c r="H179" s="67">
        <f t="shared" si="110"/>
        <v>506.03573138243593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4.5474735088646412E-13</v>
      </c>
      <c r="O179" s="13">
        <f>N179*VLOOKUP('Données projet'!$B$9,Paramètres!$A$1:$I$89,3,0)*VLOOKUP('Données projet'!$B$9,Paramètres!$A$1:$I$89,5,0)</f>
        <v>2.7193891583010558E-13</v>
      </c>
      <c r="P179" s="13">
        <f t="shared" si="141"/>
        <v>3.6362267729089988E-12</v>
      </c>
      <c r="Q179" s="20">
        <f t="shared" si="162"/>
        <v>6.8067219078872727E-12</v>
      </c>
      <c r="R179" s="59">
        <f t="shared" si="109"/>
        <v>293.33333333334014</v>
      </c>
      <c r="S179" s="59">
        <f ca="1">AVERAGE(OFFSET($R$3,0,0,'Données projet'!$E$9+1,1))-AVERAGE(OFFSET($H$3,0,0,'Données projet'!$E$9+1,1))</f>
        <v>252.28378247570731</v>
      </c>
      <c r="T179" s="59">
        <f t="shared" si="142"/>
        <v>263.50418595307343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1.6292949943298412</v>
      </c>
      <c r="AA179" s="21">
        <f>EXP(-LN(2)/25)*AA178+(1-EXP(-LN(2)/25))/(LN(2)/25)*Calculateur!V179*Calculateur!X179*VLOOKUP('Données projet'!$B$9,Paramètres!$A$1:$I$89,3,0)*0.475*44/12</f>
        <v>0</v>
      </c>
      <c r="AB179" s="21">
        <f>EXP(-LN(2)/2)*AB178+(1-EXP(-LN(2)/2))/(LN(2)/2)*V179*Y179*VLOOKUP('Données projet'!$B$9,Paramètres!$A$1:$I$89,3,0)*0.475*44/12</f>
        <v>4.2733833481588293E-21</v>
      </c>
      <c r="AC179" s="22">
        <f t="shared" si="163"/>
        <v>1.6292949943298412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-2.2737367544323206E-13</v>
      </c>
      <c r="AJ179" s="13">
        <f>AI179*VLOOKUP('Données projet'!$B$10,Paramètres!$A$1:$I$89,3,0)*VLOOKUP('Données projet'!$B$10,Paramètres!$A$1:$I$89,5,0)</f>
        <v>-1.915395841933787E-13</v>
      </c>
      <c r="AK179" s="13" t="e">
        <f t="shared" si="164"/>
        <v>#NUM!</v>
      </c>
      <c r="AL179" s="20" t="e">
        <f t="shared" si="165"/>
        <v>#NUM!</v>
      </c>
      <c r="AM179" s="59" t="e">
        <f t="shared" si="113"/>
        <v>#NUM!</v>
      </c>
      <c r="AN179" s="59">
        <f ca="1">AVERAGE(OFFSET($AM$3,0,0,'Données projet'!$E$10+1,1))-AVERAGE(OFFSET($H$3,0,0,'Données projet'!$E$10+1,1))</f>
        <v>382.67703499770795</v>
      </c>
      <c r="AO179" s="59">
        <f t="shared" si="144"/>
        <v>237.98926636458219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106.23807771658257</v>
      </c>
      <c r="AV179" s="21">
        <f>EXP(-LN(2)/25)*AV178+(1-EXP(-LN(2)/25))/(LN(2)/25)*Calculateur!AQ179*Calculateur!AS179*VLOOKUP('Données projet'!$B$10,Paramètres!$A$1:$I$89,3,0)*0.475*44/12</f>
        <v>0</v>
      </c>
      <c r="AW179" s="21">
        <f>EXP(-LN(2)/2)*AW178+(1-EXP(-LN(2)/2))/(LN(2)/2)*AQ179*AT179*VLOOKUP('Données projet'!$B$10,Paramètres!$A$1:$I$89,3,0)*0.475*44/12</f>
        <v>0</v>
      </c>
      <c r="AX179" s="21">
        <f t="shared" si="166"/>
        <v>106.23807771658257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25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96.642000000000323</v>
      </c>
      <c r="D180" s="11">
        <f t="shared" si="140"/>
        <v>26.160416982548288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947.94848197055069</v>
      </c>
      <c r="H180" s="67">
        <f t="shared" si="110"/>
        <v>507.21420957793879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4.5474735088646412E-13</v>
      </c>
      <c r="O180" s="13">
        <f>N180*VLOOKUP('Données projet'!$B$9,Paramètres!$A$1:$I$89,3,0)*VLOOKUP('Données projet'!$B$9,Paramètres!$A$1:$I$89,5,0)</f>
        <v>2.7193891583010558E-13</v>
      </c>
      <c r="P180" s="13">
        <f t="shared" si="141"/>
        <v>3.6362267729089988E-12</v>
      </c>
      <c r="Q180" s="20">
        <f t="shared" si="162"/>
        <v>6.8067219078872727E-12</v>
      </c>
      <c r="R180" s="59">
        <f t="shared" si="109"/>
        <v>293.33333333334014</v>
      </c>
      <c r="S180" s="59">
        <f ca="1">AVERAGE(OFFSET($R$3,0,0,'Données projet'!$E$9+1,1))-AVERAGE(OFFSET($H$3,0,0,'Données projet'!$E$9+1,1))</f>
        <v>252.28378247570731</v>
      </c>
      <c r="T180" s="59">
        <f t="shared" si="142"/>
        <v>263.50418595307343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1.5973455132628527</v>
      </c>
      <c r="AA180" s="21">
        <f>EXP(-LN(2)/25)*AA179+(1-EXP(-LN(2)/25))/(LN(2)/25)*Calculateur!V180*Calculateur!X180*VLOOKUP('Données projet'!$B$9,Paramètres!$A$1:$I$89,3,0)*0.475*44/12</f>
        <v>0</v>
      </c>
      <c r="AB180" s="21">
        <f>EXP(-LN(2)/2)*AB179+(1-EXP(-LN(2)/2))/(LN(2)/2)*V180*Y180*VLOOKUP('Données projet'!$B$9,Paramètres!$A$1:$I$89,3,0)*0.475*44/12</f>
        <v>3.0217383440927812E-21</v>
      </c>
      <c r="AC180" s="22">
        <f t="shared" si="163"/>
        <v>1.5973455132628527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-2.2737367544323206E-13</v>
      </c>
      <c r="AJ180" s="13">
        <f>AI180*VLOOKUP('Données projet'!$B$10,Paramètres!$A$1:$I$89,3,0)*VLOOKUP('Données projet'!$B$10,Paramètres!$A$1:$I$89,5,0)</f>
        <v>-1.915395841933787E-13</v>
      </c>
      <c r="AK180" s="13" t="e">
        <f t="shared" si="164"/>
        <v>#NUM!</v>
      </c>
      <c r="AL180" s="20" t="e">
        <f t="shared" si="165"/>
        <v>#NUM!</v>
      </c>
      <c r="AM180" s="59" t="e">
        <f t="shared" si="113"/>
        <v>#NUM!</v>
      </c>
      <c r="AN180" s="59">
        <f ca="1">AVERAGE(OFFSET($AM$3,0,0,'Données projet'!$E$10+1,1))-AVERAGE(OFFSET($H$3,0,0,'Données projet'!$E$10+1,1))</f>
        <v>382.67703499770795</v>
      </c>
      <c r="AO180" s="59">
        <f t="shared" si="144"/>
        <v>237.98926636458219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104.15481381138943</v>
      </c>
      <c r="AV180" s="21">
        <f>EXP(-LN(2)/25)*AV179+(1-EXP(-LN(2)/25))/(LN(2)/25)*Calculateur!AQ180*Calculateur!AS180*VLOOKUP('Données projet'!$B$10,Paramètres!$A$1:$I$89,3,0)*0.475*44/12</f>
        <v>0</v>
      </c>
      <c r="AW180" s="21">
        <f>EXP(-LN(2)/2)*AW179+(1-EXP(-LN(2)/2))/(LN(2)/2)*AQ180*AT180*VLOOKUP('Données projet'!$B$10,Paramètres!$A$1:$I$89,3,0)*0.475*44/12</f>
        <v>0</v>
      </c>
      <c r="AX180" s="21">
        <f t="shared" si="166"/>
        <v>104.15481381138943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25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97.188000000000329</v>
      </c>
      <c r="D181" s="11">
        <f t="shared" si="140"/>
        <v>26.290969297460425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953.17099106811804</v>
      </c>
      <c r="H181" s="67">
        <f t="shared" si="110"/>
        <v>508.39253819307743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4.5474735088646412E-13</v>
      </c>
      <c r="O181" s="13">
        <f>N181*VLOOKUP('Données projet'!$B$9,Paramètres!$A$1:$I$89,3,0)*VLOOKUP('Données projet'!$B$9,Paramètres!$A$1:$I$89,5,0)</f>
        <v>2.7193891583010558E-13</v>
      </c>
      <c r="P181" s="13">
        <f t="shared" si="141"/>
        <v>3.6362267729089988E-12</v>
      </c>
      <c r="Q181" s="20">
        <f t="shared" si="162"/>
        <v>6.8067219078872727E-12</v>
      </c>
      <c r="R181" s="59">
        <f t="shared" si="109"/>
        <v>293.33333333334014</v>
      </c>
      <c r="S181" s="59">
        <f ca="1">AVERAGE(OFFSET($R$3,0,0,'Données projet'!$E$9+1,1))-AVERAGE(OFFSET($H$3,0,0,'Données projet'!$E$9+1,1))</f>
        <v>252.28378247570731</v>
      </c>
      <c r="T181" s="59">
        <f t="shared" si="142"/>
        <v>263.50418595307343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1.5660225420323286</v>
      </c>
      <c r="AA181" s="21">
        <f>EXP(-LN(2)/25)*AA180+(1-EXP(-LN(2)/25))/(LN(2)/25)*Calculateur!V181*Calculateur!X181*VLOOKUP('Données projet'!$B$9,Paramètres!$A$1:$I$89,3,0)*0.475*44/12</f>
        <v>0</v>
      </c>
      <c r="AB181" s="21">
        <f>EXP(-LN(2)/2)*AB180+(1-EXP(-LN(2)/2))/(LN(2)/2)*V181*Y181*VLOOKUP('Données projet'!$B$9,Paramètres!$A$1:$I$89,3,0)*0.475*44/12</f>
        <v>2.1366916740794146E-21</v>
      </c>
      <c r="AC181" s="22">
        <f t="shared" si="163"/>
        <v>1.5660225420323286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-2.2737367544323206E-13</v>
      </c>
      <c r="AJ181" s="13">
        <f>AI181*VLOOKUP('Données projet'!$B$10,Paramètres!$A$1:$I$89,3,0)*VLOOKUP('Données projet'!$B$10,Paramètres!$A$1:$I$89,5,0)</f>
        <v>-1.915395841933787E-13</v>
      </c>
      <c r="AK181" s="13" t="e">
        <f t="shared" si="164"/>
        <v>#NUM!</v>
      </c>
      <c r="AL181" s="20" t="e">
        <f t="shared" si="165"/>
        <v>#NUM!</v>
      </c>
      <c r="AM181" s="59" t="e">
        <f t="shared" si="113"/>
        <v>#NUM!</v>
      </c>
      <c r="AN181" s="59">
        <f ca="1">AVERAGE(OFFSET($AM$3,0,0,'Données projet'!$E$10+1,1))-AVERAGE(OFFSET($H$3,0,0,'Données projet'!$E$10+1,1))</f>
        <v>382.67703499770795</v>
      </c>
      <c r="AO181" s="59">
        <f t="shared" si="144"/>
        <v>237.98926636458219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102.11240144071162</v>
      </c>
      <c r="AV181" s="21">
        <f>EXP(-LN(2)/25)*AV180+(1-EXP(-LN(2)/25))/(LN(2)/25)*Calculateur!AQ181*Calculateur!AS181*VLOOKUP('Données projet'!$B$10,Paramètres!$A$1:$I$89,3,0)*0.475*44/12</f>
        <v>0</v>
      </c>
      <c r="AW181" s="21">
        <f>EXP(-LN(2)/2)*AW180+(1-EXP(-LN(2)/2))/(LN(2)/2)*AQ181*AT181*VLOOKUP('Données projet'!$B$10,Paramètres!$A$1:$I$89,3,0)*0.475*44/12</f>
        <v>0</v>
      </c>
      <c r="AX181" s="21">
        <f t="shared" si="166"/>
        <v>102.11240144071162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25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97.734000000000336</v>
      </c>
      <c r="D182" s="11">
        <f t="shared" si="140"/>
        <v>26.421436267392767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958.39284136233266</v>
      </c>
      <c r="H182" s="67">
        <f t="shared" si="110"/>
        <v>509.57071816570965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4.5474735088646412E-13</v>
      </c>
      <c r="O182" s="13">
        <f>N182*VLOOKUP('Données projet'!$B$9,Paramètres!$A$1:$I$89,3,0)*VLOOKUP('Données projet'!$B$9,Paramètres!$A$1:$I$89,5,0)</f>
        <v>2.7193891583010558E-13</v>
      </c>
      <c r="P182" s="13">
        <f t="shared" si="141"/>
        <v>3.6362267729089988E-12</v>
      </c>
      <c r="Q182" s="20">
        <f t="shared" si="162"/>
        <v>6.8067219078872727E-12</v>
      </c>
      <c r="R182" s="59">
        <f t="shared" si="109"/>
        <v>293.33333333334014</v>
      </c>
      <c r="S182" s="59">
        <f ca="1">AVERAGE(OFFSET($R$3,0,0,'Données projet'!$E$9+1,1))-AVERAGE(OFFSET($H$3,0,0,'Données projet'!$E$9+1,1))</f>
        <v>252.28378247570731</v>
      </c>
      <c r="T182" s="59">
        <f t="shared" si="142"/>
        <v>263.50418595307343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1.5353137951625091</v>
      </c>
      <c r="AA182" s="21">
        <f>EXP(-LN(2)/25)*AA181+(1-EXP(-LN(2)/25))/(LN(2)/25)*Calculateur!V182*Calculateur!X182*VLOOKUP('Données projet'!$B$9,Paramètres!$A$1:$I$89,3,0)*0.475*44/12</f>
        <v>0</v>
      </c>
      <c r="AB182" s="21">
        <f>EXP(-LN(2)/2)*AB181+(1-EXP(-LN(2)/2))/(LN(2)/2)*V182*Y182*VLOOKUP('Données projet'!$B$9,Paramètres!$A$1:$I$89,3,0)*0.475*44/12</f>
        <v>1.5108691720463906E-21</v>
      </c>
      <c r="AC182" s="22">
        <f t="shared" si="163"/>
        <v>1.5353137951625091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-2.2737367544323206E-13</v>
      </c>
      <c r="AJ182" s="13">
        <f>AI182*VLOOKUP('Données projet'!$B$10,Paramètres!$A$1:$I$89,3,0)*VLOOKUP('Données projet'!$B$10,Paramètres!$A$1:$I$89,5,0)</f>
        <v>-1.915395841933787E-13</v>
      </c>
      <c r="AK182" s="13" t="e">
        <f t="shared" si="164"/>
        <v>#NUM!</v>
      </c>
      <c r="AL182" s="20" t="e">
        <f t="shared" si="165"/>
        <v>#NUM!</v>
      </c>
      <c r="AM182" s="59" t="e">
        <f t="shared" si="113"/>
        <v>#NUM!</v>
      </c>
      <c r="AN182" s="59">
        <f ca="1">AVERAGE(OFFSET($AM$3,0,0,'Données projet'!$E$10+1,1))-AVERAGE(OFFSET($H$3,0,0,'Données projet'!$E$10+1,1))</f>
        <v>382.67703499770795</v>
      </c>
      <c r="AO182" s="59">
        <f t="shared" si="144"/>
        <v>237.98926636458219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100.11003953087427</v>
      </c>
      <c r="AV182" s="21">
        <f>EXP(-LN(2)/25)*AV181+(1-EXP(-LN(2)/25))/(LN(2)/25)*Calculateur!AQ182*Calculateur!AS182*VLOOKUP('Données projet'!$B$10,Paramètres!$A$1:$I$89,3,0)*0.475*44/12</f>
        <v>0</v>
      </c>
      <c r="AW182" s="21">
        <f>EXP(-LN(2)/2)*AW181+(1-EXP(-LN(2)/2))/(LN(2)/2)*AQ182*AT182*VLOOKUP('Données projet'!$B$10,Paramètres!$A$1:$I$89,3,0)*0.475*44/12</f>
        <v>0</v>
      </c>
      <c r="AX182" s="21">
        <f t="shared" si="166"/>
        <v>100.11003953087427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25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98.280000000000342</v>
      </c>
      <c r="D183" s="11">
        <f t="shared" si="140"/>
        <v>26.551818424463544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963.61403696077389</v>
      </c>
      <c r="H183" s="67">
        <f t="shared" si="110"/>
        <v>510.74875042260788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4.5474735088646412E-13</v>
      </c>
      <c r="O183" s="13">
        <f>N183*VLOOKUP('Données projet'!$B$9,Paramètres!$A$1:$I$89,3,0)*VLOOKUP('Données projet'!$B$9,Paramètres!$A$1:$I$89,5,0)</f>
        <v>2.7193891583010558E-13</v>
      </c>
      <c r="P183" s="13">
        <f t="shared" si="141"/>
        <v>3.6362267729089988E-12</v>
      </c>
      <c r="Q183" s="20">
        <f t="shared" si="162"/>
        <v>6.8067219078872727E-12</v>
      </c>
      <c r="R183" s="59">
        <f t="shared" si="109"/>
        <v>293.33333333334014</v>
      </c>
      <c r="S183" s="59">
        <f ca="1">AVERAGE(OFFSET($R$3,0,0,'Données projet'!$E$9+1,1))-AVERAGE(OFFSET($H$3,0,0,'Données projet'!$E$9+1,1))</f>
        <v>252.28378247570731</v>
      </c>
      <c r="T183" s="59">
        <f t="shared" si="142"/>
        <v>263.50418595307343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1.5052072280883206</v>
      </c>
      <c r="AA183" s="21">
        <f>EXP(-LN(2)/25)*AA182+(1-EXP(-LN(2)/25))/(LN(2)/25)*Calculateur!V183*Calculateur!X183*VLOOKUP('Données projet'!$B$9,Paramètres!$A$1:$I$89,3,0)*0.475*44/12</f>
        <v>0</v>
      </c>
      <c r="AB183" s="21">
        <f>EXP(-LN(2)/2)*AB182+(1-EXP(-LN(2)/2))/(LN(2)/2)*V183*Y183*VLOOKUP('Données projet'!$B$9,Paramètres!$A$1:$I$89,3,0)*0.475*44/12</f>
        <v>1.0683458370397073E-21</v>
      </c>
      <c r="AC183" s="22">
        <f t="shared" si="163"/>
        <v>1.5052072280883206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-2.2737367544323206E-13</v>
      </c>
      <c r="AJ183" s="13">
        <f>AI183*VLOOKUP('Données projet'!$B$10,Paramètres!$A$1:$I$89,3,0)*VLOOKUP('Données projet'!$B$10,Paramètres!$A$1:$I$89,5,0)</f>
        <v>-1.915395841933787E-13</v>
      </c>
      <c r="AK183" s="13" t="e">
        <f t="shared" si="164"/>
        <v>#NUM!</v>
      </c>
      <c r="AL183" s="20" t="e">
        <f t="shared" si="165"/>
        <v>#NUM!</v>
      </c>
      <c r="AM183" s="59" t="e">
        <f t="shared" si="113"/>
        <v>#NUM!</v>
      </c>
      <c r="AN183" s="59">
        <f ca="1">AVERAGE(OFFSET($AM$3,0,0,'Données projet'!$E$10+1,1))-AVERAGE(OFFSET($H$3,0,0,'Données projet'!$E$10+1,1))</f>
        <v>382.67703499770795</v>
      </c>
      <c r="AO183" s="59">
        <f t="shared" si="144"/>
        <v>237.98926636458219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98.146942716768663</v>
      </c>
      <c r="AV183" s="21">
        <f>EXP(-LN(2)/25)*AV182+(1-EXP(-LN(2)/25))/(LN(2)/25)*Calculateur!AQ183*Calculateur!AS183*VLOOKUP('Données projet'!$B$10,Paramètres!$A$1:$I$89,3,0)*0.475*44/12</f>
        <v>0</v>
      </c>
      <c r="AW183" s="21">
        <f>EXP(-LN(2)/2)*AW182+(1-EXP(-LN(2)/2))/(LN(2)/2)*AQ183*AT183*VLOOKUP('Données projet'!$B$10,Paramètres!$A$1:$I$89,3,0)*0.475*44/12</f>
        <v>0</v>
      </c>
      <c r="AX183" s="21">
        <f t="shared" si="166"/>
        <v>98.146942716768663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25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98.826000000000349</v>
      </c>
      <c r="D184" s="11">
        <f t="shared" si="140"/>
        <v>26.682116294536339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968.83458192273929</v>
      </c>
      <c r="H184" s="67">
        <f t="shared" si="110"/>
        <v>511.92663587965137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4.5474735088646412E-13</v>
      </c>
      <c r="O184" s="13">
        <f>N184*VLOOKUP('Données projet'!$B$9,Paramètres!$A$1:$I$89,3,0)*VLOOKUP('Données projet'!$B$9,Paramètres!$A$1:$I$89,5,0)</f>
        <v>2.7193891583010558E-13</v>
      </c>
      <c r="P184" s="13">
        <f t="shared" si="141"/>
        <v>3.6362267729089988E-12</v>
      </c>
      <c r="Q184" s="20">
        <f t="shared" si="162"/>
        <v>6.8067219078872727E-12</v>
      </c>
      <c r="R184" s="59">
        <f t="shared" si="109"/>
        <v>293.33333333334014</v>
      </c>
      <c r="S184" s="59">
        <f ca="1">AVERAGE(OFFSET($R$3,0,0,'Données projet'!$E$9+1,1))-AVERAGE(OFFSET($H$3,0,0,'Données projet'!$E$9+1,1))</f>
        <v>252.28378247570731</v>
      </c>
      <c r="T184" s="59">
        <f t="shared" si="142"/>
        <v>263.50418595307343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1.4756910324312644</v>
      </c>
      <c r="AA184" s="21">
        <f>EXP(-LN(2)/25)*AA183+(1-EXP(-LN(2)/25))/(LN(2)/25)*Calculateur!V184*Calculateur!X184*VLOOKUP('Données projet'!$B$9,Paramètres!$A$1:$I$89,3,0)*0.475*44/12</f>
        <v>0</v>
      </c>
      <c r="AB184" s="21">
        <f>EXP(-LN(2)/2)*AB183+(1-EXP(-LN(2)/2))/(LN(2)/2)*V184*Y184*VLOOKUP('Données projet'!$B$9,Paramètres!$A$1:$I$89,3,0)*0.475*44/12</f>
        <v>7.5543458602319529E-22</v>
      </c>
      <c r="AC184" s="22">
        <f t="shared" si="163"/>
        <v>1.4756910324312644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-2.2737367544323206E-13</v>
      </c>
      <c r="AJ184" s="13">
        <f>AI184*VLOOKUP('Données projet'!$B$10,Paramètres!$A$1:$I$89,3,0)*VLOOKUP('Données projet'!$B$10,Paramètres!$A$1:$I$89,5,0)</f>
        <v>-1.915395841933787E-13</v>
      </c>
      <c r="AK184" s="13" t="e">
        <f t="shared" si="164"/>
        <v>#NUM!</v>
      </c>
      <c r="AL184" s="20" t="e">
        <f t="shared" si="165"/>
        <v>#NUM!</v>
      </c>
      <c r="AM184" s="59" t="e">
        <f t="shared" si="113"/>
        <v>#NUM!</v>
      </c>
      <c r="AN184" s="59">
        <f ca="1">AVERAGE(OFFSET($AM$3,0,0,'Données projet'!$E$10+1,1))-AVERAGE(OFFSET($H$3,0,0,'Données projet'!$E$10+1,1))</f>
        <v>382.67703499770795</v>
      </c>
      <c r="AO184" s="59">
        <f t="shared" si="144"/>
        <v>237.98926636458219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96.222341033816832</v>
      </c>
      <c r="AV184" s="21">
        <f>EXP(-LN(2)/25)*AV183+(1-EXP(-LN(2)/25))/(LN(2)/25)*Calculateur!AQ184*Calculateur!AS184*VLOOKUP('Données projet'!$B$10,Paramètres!$A$1:$I$89,3,0)*0.475*44/12</f>
        <v>0</v>
      </c>
      <c r="AW184" s="21">
        <f>EXP(-LN(2)/2)*AW183+(1-EXP(-LN(2)/2))/(LN(2)/2)*AQ184*AT184*VLOOKUP('Données projet'!$B$10,Paramètres!$A$1:$I$89,3,0)*0.475*44/12</f>
        <v>0</v>
      </c>
      <c r="AX184" s="21">
        <f t="shared" si="166"/>
        <v>96.222341033816832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25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99.372000000000355</v>
      </c>
      <c r="D185" s="11">
        <f t="shared" si="140"/>
        <v>26.812330397327784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974.05448026007673</v>
      </c>
      <c r="H185" s="67">
        <f t="shared" si="110"/>
        <v>513.10437544201318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4.5474735088646412E-13</v>
      </c>
      <c r="O185" s="13">
        <f>N185*VLOOKUP('Données projet'!$B$9,Paramètres!$A$1:$I$89,3,0)*VLOOKUP('Données projet'!$B$9,Paramètres!$A$1:$I$89,5,0)</f>
        <v>2.7193891583010558E-13</v>
      </c>
      <c r="P185" s="13">
        <f t="shared" si="141"/>
        <v>3.6362267729089988E-12</v>
      </c>
      <c r="Q185" s="20">
        <f t="shared" si="162"/>
        <v>6.8067219078872727E-12</v>
      </c>
      <c r="R185" s="59">
        <f t="shared" si="109"/>
        <v>293.33333333334014</v>
      </c>
      <c r="S185" s="59">
        <f ca="1">AVERAGE(OFFSET($R$3,0,0,'Données projet'!$E$9+1,1))-AVERAGE(OFFSET($H$3,0,0,'Données projet'!$E$9+1,1))</f>
        <v>252.28378247570731</v>
      </c>
      <c r="T185" s="59">
        <f t="shared" si="142"/>
        <v>263.50418595307343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1.4467536313679414</v>
      </c>
      <c r="AA185" s="21">
        <f>EXP(-LN(2)/25)*AA184+(1-EXP(-LN(2)/25))/(LN(2)/25)*Calculateur!V185*Calculateur!X185*VLOOKUP('Données projet'!$B$9,Paramètres!$A$1:$I$89,3,0)*0.475*44/12</f>
        <v>0</v>
      </c>
      <c r="AB185" s="21">
        <f>EXP(-LN(2)/2)*AB184+(1-EXP(-LN(2)/2))/(LN(2)/2)*V185*Y185*VLOOKUP('Données projet'!$B$9,Paramètres!$A$1:$I$89,3,0)*0.475*44/12</f>
        <v>5.3417291851985366E-22</v>
      </c>
      <c r="AC185" s="22">
        <f t="shared" si="163"/>
        <v>1.4467536313679414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-2.2737367544323206E-13</v>
      </c>
      <c r="AJ185" s="13">
        <f>AI185*VLOOKUP('Données projet'!$B$10,Paramètres!$A$1:$I$89,3,0)*VLOOKUP('Données projet'!$B$10,Paramètres!$A$1:$I$89,5,0)</f>
        <v>-1.915395841933787E-13</v>
      </c>
      <c r="AK185" s="13" t="e">
        <f t="shared" si="164"/>
        <v>#NUM!</v>
      </c>
      <c r="AL185" s="20" t="e">
        <f t="shared" si="165"/>
        <v>#NUM!</v>
      </c>
      <c r="AM185" s="59" t="e">
        <f t="shared" si="113"/>
        <v>#NUM!</v>
      </c>
      <c r="AN185" s="59">
        <f ca="1">AVERAGE(OFFSET($AM$3,0,0,'Données projet'!$E$10+1,1))-AVERAGE(OFFSET($H$3,0,0,'Données projet'!$E$10+1,1))</f>
        <v>382.67703499770795</v>
      </c>
      <c r="AO185" s="59">
        <f t="shared" si="144"/>
        <v>237.98926636458219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94.335479615976581</v>
      </c>
      <c r="AV185" s="21">
        <f>EXP(-LN(2)/25)*AV184+(1-EXP(-LN(2)/25))/(LN(2)/25)*Calculateur!AQ185*Calculateur!AS185*VLOOKUP('Données projet'!$B$10,Paramètres!$A$1:$I$89,3,0)*0.475*44/12</f>
        <v>0</v>
      </c>
      <c r="AW185" s="21">
        <f>EXP(-LN(2)/2)*AW184+(1-EXP(-LN(2)/2))/(LN(2)/2)*AQ185*AT185*VLOOKUP('Données projet'!$B$10,Paramètres!$A$1:$I$89,3,0)*0.475*44/12</f>
        <v>0</v>
      </c>
      <c r="AX185" s="21">
        <f t="shared" si="166"/>
        <v>94.335479615976581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25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99.918000000000362</v>
      </c>
      <c r="D186" s="11">
        <f t="shared" si="140"/>
        <v>26.942461246512842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979.27373593799666</v>
      </c>
      <c r="H186" s="67">
        <f t="shared" si="110"/>
        <v>514.28197000434375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4.5474735088646412E-13</v>
      </c>
      <c r="O186" s="13">
        <f>N186*VLOOKUP('Données projet'!$B$9,Paramètres!$A$1:$I$89,3,0)*VLOOKUP('Données projet'!$B$9,Paramètres!$A$1:$I$89,5,0)</f>
        <v>2.7193891583010558E-13</v>
      </c>
      <c r="P186" s="13">
        <f t="shared" si="141"/>
        <v>3.6362267729089988E-12</v>
      </c>
      <c r="Q186" s="20">
        <f t="shared" si="162"/>
        <v>6.8067219078872727E-12</v>
      </c>
      <c r="R186" s="59">
        <f t="shared" si="109"/>
        <v>293.33333333334014</v>
      </c>
      <c r="S186" s="59">
        <f ca="1">AVERAGE(OFFSET($R$3,0,0,'Données projet'!$E$9+1,1))-AVERAGE(OFFSET($H$3,0,0,'Données projet'!$E$9+1,1))</f>
        <v>252.28378247570731</v>
      </c>
      <c r="T186" s="59">
        <f t="shared" si="142"/>
        <v>263.50418595307343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1.4183836750893983</v>
      </c>
      <c r="AA186" s="21">
        <f>EXP(-LN(2)/25)*AA185+(1-EXP(-LN(2)/25))/(LN(2)/25)*Calculateur!V186*Calculateur!X186*VLOOKUP('Données projet'!$B$9,Paramètres!$A$1:$I$89,3,0)*0.475*44/12</f>
        <v>0</v>
      </c>
      <c r="AB186" s="21">
        <f>EXP(-LN(2)/2)*AB185+(1-EXP(-LN(2)/2))/(LN(2)/2)*V186*Y186*VLOOKUP('Données projet'!$B$9,Paramètres!$A$1:$I$89,3,0)*0.475*44/12</f>
        <v>3.7771729301159765E-22</v>
      </c>
      <c r="AC186" s="22">
        <f t="shared" si="163"/>
        <v>1.4183836750893983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-2.2737367544323206E-13</v>
      </c>
      <c r="AJ186" s="13">
        <f>AI186*VLOOKUP('Données projet'!$B$10,Paramètres!$A$1:$I$89,3,0)*VLOOKUP('Données projet'!$B$10,Paramètres!$A$1:$I$89,5,0)</f>
        <v>-1.915395841933787E-13</v>
      </c>
      <c r="AK186" s="13" t="e">
        <f t="shared" si="164"/>
        <v>#NUM!</v>
      </c>
      <c r="AL186" s="20" t="e">
        <f t="shared" si="165"/>
        <v>#NUM!</v>
      </c>
      <c r="AM186" s="59" t="e">
        <f t="shared" si="113"/>
        <v>#NUM!</v>
      </c>
      <c r="AN186" s="59">
        <f ca="1">AVERAGE(OFFSET($AM$3,0,0,'Données projet'!$E$10+1,1))-AVERAGE(OFFSET($H$3,0,0,'Données projet'!$E$10+1,1))</f>
        <v>382.67703499770795</v>
      </c>
      <c r="AO186" s="59">
        <f t="shared" si="144"/>
        <v>237.98926636458219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92.48561839966834</v>
      </c>
      <c r="AV186" s="21">
        <f>EXP(-LN(2)/25)*AV185+(1-EXP(-LN(2)/25))/(LN(2)/25)*Calculateur!AQ186*Calculateur!AS186*VLOOKUP('Données projet'!$B$10,Paramètres!$A$1:$I$89,3,0)*0.475*44/12</f>
        <v>0</v>
      </c>
      <c r="AW186" s="21">
        <f>EXP(-LN(2)/2)*AW185+(1-EXP(-LN(2)/2))/(LN(2)/2)*AQ186*AT186*VLOOKUP('Données projet'!$B$10,Paramètres!$A$1:$I$89,3,0)*0.475*44/12</f>
        <v>0</v>
      </c>
      <c r="AX186" s="21">
        <f t="shared" si="166"/>
        <v>92.48561839966834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25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100.46400000000037</v>
      </c>
      <c r="D187" s="11">
        <f t="shared" si="140"/>
        <v>27.072509349827552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984.49235287586487</v>
      </c>
      <c r="H187" s="67">
        <f t="shared" si="110"/>
        <v>515.45942045095035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4.5474735088646412E-13</v>
      </c>
      <c r="O187" s="13">
        <f>N187*VLOOKUP('Données projet'!$B$9,Paramètres!$A$1:$I$89,3,0)*VLOOKUP('Données projet'!$B$9,Paramètres!$A$1:$I$89,5,0)</f>
        <v>2.7193891583010558E-13</v>
      </c>
      <c r="P187" s="13">
        <f t="shared" si="141"/>
        <v>3.6362267729089988E-12</v>
      </c>
      <c r="Q187" s="20">
        <f t="shared" si="162"/>
        <v>6.8067219078872727E-12</v>
      </c>
      <c r="R187" s="59">
        <f t="shared" si="109"/>
        <v>293.33333333334014</v>
      </c>
      <c r="S187" s="59">
        <f ca="1">AVERAGE(OFFSET($R$3,0,0,'Données projet'!$E$9+1,1))-AVERAGE(OFFSET($H$3,0,0,'Données projet'!$E$9+1,1))</f>
        <v>252.28378247570731</v>
      </c>
      <c r="T187" s="59">
        <f t="shared" si="142"/>
        <v>263.50418595307343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1.3905700363495126</v>
      </c>
      <c r="AA187" s="21">
        <f>EXP(-LN(2)/25)*AA186+(1-EXP(-LN(2)/25))/(LN(2)/25)*Calculateur!V187*Calculateur!X187*VLOOKUP('Données projet'!$B$9,Paramètres!$A$1:$I$89,3,0)*0.475*44/12</f>
        <v>0</v>
      </c>
      <c r="AB187" s="21">
        <f>EXP(-LN(2)/2)*AB186+(1-EXP(-LN(2)/2))/(LN(2)/2)*V187*Y187*VLOOKUP('Données projet'!$B$9,Paramètres!$A$1:$I$89,3,0)*0.475*44/12</f>
        <v>2.6708645925992683E-22</v>
      </c>
      <c r="AC187" s="22">
        <f t="shared" si="163"/>
        <v>1.3905700363495126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-2.2737367544323206E-13</v>
      </c>
      <c r="AJ187" s="13">
        <f>AI187*VLOOKUP('Données projet'!$B$10,Paramètres!$A$1:$I$89,3,0)*VLOOKUP('Données projet'!$B$10,Paramètres!$A$1:$I$89,5,0)</f>
        <v>-1.915395841933787E-13</v>
      </c>
      <c r="AK187" s="13" t="e">
        <f t="shared" si="164"/>
        <v>#NUM!</v>
      </c>
      <c r="AL187" s="20" t="e">
        <f t="shared" si="165"/>
        <v>#NUM!</v>
      </c>
      <c r="AM187" s="59" t="e">
        <f t="shared" si="113"/>
        <v>#NUM!</v>
      </c>
      <c r="AN187" s="59">
        <f ca="1">AVERAGE(OFFSET($AM$3,0,0,'Données projet'!$E$10+1,1))-AVERAGE(OFFSET($H$3,0,0,'Données projet'!$E$10+1,1))</f>
        <v>382.67703499770795</v>
      </c>
      <c r="AO187" s="59">
        <f t="shared" si="144"/>
        <v>237.98926636458219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90.672031833507972</v>
      </c>
      <c r="AV187" s="21">
        <f>EXP(-LN(2)/25)*AV186+(1-EXP(-LN(2)/25))/(LN(2)/25)*Calculateur!AQ187*Calculateur!AS187*VLOOKUP('Données projet'!$B$10,Paramètres!$A$1:$I$89,3,0)*0.475*44/12</f>
        <v>0</v>
      </c>
      <c r="AW187" s="21">
        <f>EXP(-LN(2)/2)*AW186+(1-EXP(-LN(2)/2))/(LN(2)/2)*AQ187*AT187*VLOOKUP('Données projet'!$B$10,Paramètres!$A$1:$I$89,3,0)*0.475*44/12</f>
        <v>0</v>
      </c>
      <c r="AX187" s="21">
        <f t="shared" si="166"/>
        <v>90.672031833507972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25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101.01000000000037</v>
      </c>
      <c r="D188" s="11">
        <f t="shared" si="140"/>
        <v>27.202475209169677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989.7103349479795</v>
      </c>
      <c r="H188" s="67">
        <f t="shared" si="110"/>
        <v>516.63672765597119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4.5474735088646412E-13</v>
      </c>
      <c r="O188" s="13">
        <f>N188*VLOOKUP('Données projet'!$B$9,Paramètres!$A$1:$I$89,3,0)*VLOOKUP('Données projet'!$B$9,Paramètres!$A$1:$I$89,5,0)</f>
        <v>2.7193891583010558E-13</v>
      </c>
      <c r="P188" s="13">
        <f t="shared" si="141"/>
        <v>3.6362267729089988E-12</v>
      </c>
      <c r="Q188" s="20">
        <f t="shared" si="162"/>
        <v>6.8067219078872727E-12</v>
      </c>
      <c r="R188" s="59">
        <f t="shared" si="109"/>
        <v>293.33333333334014</v>
      </c>
      <c r="S188" s="59">
        <f ca="1">AVERAGE(OFFSET($R$3,0,0,'Données projet'!$E$9+1,1))-AVERAGE(OFFSET($H$3,0,0,'Données projet'!$E$9+1,1))</f>
        <v>252.28378247570731</v>
      </c>
      <c r="T188" s="59">
        <f t="shared" si="142"/>
        <v>263.50418595307343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1.3633018061006716</v>
      </c>
      <c r="AA188" s="21">
        <f>EXP(-LN(2)/25)*AA187+(1-EXP(-LN(2)/25))/(LN(2)/25)*Calculateur!V188*Calculateur!X188*VLOOKUP('Données projet'!$B$9,Paramètres!$A$1:$I$89,3,0)*0.475*44/12</f>
        <v>0</v>
      </c>
      <c r="AB188" s="21">
        <f>EXP(-LN(2)/2)*AB187+(1-EXP(-LN(2)/2))/(LN(2)/2)*V188*Y188*VLOOKUP('Données projet'!$B$9,Paramètres!$A$1:$I$89,3,0)*0.475*44/12</f>
        <v>1.8885864650579882E-22</v>
      </c>
      <c r="AC188" s="22">
        <f t="shared" si="163"/>
        <v>1.3633018061006716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-2.2737367544323206E-13</v>
      </c>
      <c r="AJ188" s="13">
        <f>AI188*VLOOKUP('Données projet'!$B$10,Paramètres!$A$1:$I$89,3,0)*VLOOKUP('Données projet'!$B$10,Paramètres!$A$1:$I$89,5,0)</f>
        <v>-1.915395841933787E-13</v>
      </c>
      <c r="AK188" s="13" t="e">
        <f t="shared" si="164"/>
        <v>#NUM!</v>
      </c>
      <c r="AL188" s="20" t="e">
        <f t="shared" si="165"/>
        <v>#NUM!</v>
      </c>
      <c r="AM188" s="59" t="e">
        <f t="shared" si="113"/>
        <v>#NUM!</v>
      </c>
      <c r="AN188" s="59">
        <f ca="1">AVERAGE(OFFSET($AM$3,0,0,'Données projet'!$E$10+1,1))-AVERAGE(OFFSET($H$3,0,0,'Données projet'!$E$10+1,1))</f>
        <v>382.67703499770795</v>
      </c>
      <c r="AO188" s="59">
        <f t="shared" si="144"/>
        <v>237.98926636458219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88.894008593731442</v>
      </c>
      <c r="AV188" s="21">
        <f>EXP(-LN(2)/25)*AV187+(1-EXP(-LN(2)/25))/(LN(2)/25)*Calculateur!AQ188*Calculateur!AS188*VLOOKUP('Données projet'!$B$10,Paramètres!$A$1:$I$89,3,0)*0.475*44/12</f>
        <v>0</v>
      </c>
      <c r="AW188" s="21">
        <f>EXP(-LN(2)/2)*AW187+(1-EXP(-LN(2)/2))/(LN(2)/2)*AQ188*AT188*VLOOKUP('Données projet'!$B$10,Paramètres!$A$1:$I$89,3,0)*0.475*44/12</f>
        <v>0</v>
      </c>
      <c r="AX188" s="21">
        <f t="shared" si="166"/>
        <v>88.894008593731442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25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101.55600000000038</v>
      </c>
      <c r="D189" s="11">
        <f t="shared" si="140"/>
        <v>27.332359320697009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994.92768598433076</v>
      </c>
      <c r="H189" s="67">
        <f t="shared" si="110"/>
        <v>517.81389248354799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4.5474735088646412E-13</v>
      </c>
      <c r="O189" s="13">
        <f>N189*VLOOKUP('Données projet'!$B$9,Paramètres!$A$1:$I$89,3,0)*VLOOKUP('Données projet'!$B$9,Paramètres!$A$1:$I$89,5,0)</f>
        <v>2.7193891583010558E-13</v>
      </c>
      <c r="P189" s="13">
        <f t="shared" si="141"/>
        <v>3.6362267729089988E-12</v>
      </c>
      <c r="Q189" s="20">
        <f t="shared" si="162"/>
        <v>6.8067219078872727E-12</v>
      </c>
      <c r="R189" s="59">
        <f t="shared" si="109"/>
        <v>293.33333333334014</v>
      </c>
      <c r="S189" s="59">
        <f ca="1">AVERAGE(OFFSET($R$3,0,0,'Données projet'!$E$9+1,1))-AVERAGE(OFFSET($H$3,0,0,'Données projet'!$E$9+1,1))</f>
        <v>252.28378247570731</v>
      </c>
      <c r="T189" s="59">
        <f t="shared" si="142"/>
        <v>263.50418595307343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1.3365682892150321</v>
      </c>
      <c r="AA189" s="21">
        <f>EXP(-LN(2)/25)*AA188+(1-EXP(-LN(2)/25))/(LN(2)/25)*Calculateur!V189*Calculateur!X189*VLOOKUP('Données projet'!$B$9,Paramètres!$A$1:$I$89,3,0)*0.475*44/12</f>
        <v>0</v>
      </c>
      <c r="AB189" s="21">
        <f>EXP(-LN(2)/2)*AB188+(1-EXP(-LN(2)/2))/(LN(2)/2)*V189*Y189*VLOOKUP('Données projet'!$B$9,Paramètres!$A$1:$I$89,3,0)*0.475*44/12</f>
        <v>1.3354322962996341E-22</v>
      </c>
      <c r="AC189" s="22">
        <f t="shared" si="163"/>
        <v>1.3365682892150321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-2.2737367544323206E-13</v>
      </c>
      <c r="AJ189" s="13">
        <f>AI189*VLOOKUP('Données projet'!$B$10,Paramètres!$A$1:$I$89,3,0)*VLOOKUP('Données projet'!$B$10,Paramètres!$A$1:$I$89,5,0)</f>
        <v>-1.915395841933787E-13</v>
      </c>
      <c r="AK189" s="13" t="e">
        <f t="shared" si="164"/>
        <v>#NUM!</v>
      </c>
      <c r="AL189" s="20" t="e">
        <f t="shared" si="165"/>
        <v>#NUM!</v>
      </c>
      <c r="AM189" s="59" t="e">
        <f t="shared" si="113"/>
        <v>#NUM!</v>
      </c>
      <c r="AN189" s="59">
        <f ca="1">AVERAGE(OFFSET($AM$3,0,0,'Données projet'!$E$10+1,1))-AVERAGE(OFFSET($H$3,0,0,'Données projet'!$E$10+1,1))</f>
        <v>382.67703499770795</v>
      </c>
      <c r="AO189" s="59">
        <f t="shared" si="144"/>
        <v>237.98926636458219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87.150851305199836</v>
      </c>
      <c r="AV189" s="21">
        <f>EXP(-LN(2)/25)*AV188+(1-EXP(-LN(2)/25))/(LN(2)/25)*Calculateur!AQ189*Calculateur!AS189*VLOOKUP('Données projet'!$B$10,Paramètres!$A$1:$I$89,3,0)*0.475*44/12</f>
        <v>0</v>
      </c>
      <c r="AW189" s="21">
        <f>EXP(-LN(2)/2)*AW188+(1-EXP(-LN(2)/2))/(LN(2)/2)*AQ189*AT189*VLOOKUP('Données projet'!$B$10,Paramètres!$A$1:$I$89,3,0)*0.475*44/12</f>
        <v>0</v>
      </c>
      <c r="AX189" s="21">
        <f t="shared" si="166"/>
        <v>87.150851305199836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25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102.10200000000039</v>
      </c>
      <c r="D190" s="11">
        <f t="shared" si="140"/>
        <v>27.462162174923463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1000.144409771342</v>
      </c>
      <c r="H190" s="67">
        <f t="shared" si="110"/>
        <v>518.99091578799244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4.5474735088646412E-13</v>
      </c>
      <c r="O190" s="13">
        <f>N190*VLOOKUP('Données projet'!$B$9,Paramètres!$A$1:$I$89,3,0)*VLOOKUP('Données projet'!$B$9,Paramètres!$A$1:$I$89,5,0)</f>
        <v>2.7193891583010558E-13</v>
      </c>
      <c r="P190" s="13">
        <f t="shared" si="141"/>
        <v>3.6362267729089988E-12</v>
      </c>
      <c r="Q190" s="20">
        <f t="shared" si="162"/>
        <v>6.8067219078872727E-12</v>
      </c>
      <c r="R190" s="59">
        <f t="shared" si="109"/>
        <v>293.33333333334014</v>
      </c>
      <c r="S190" s="59">
        <f ca="1">AVERAGE(OFFSET($R$3,0,0,'Données projet'!$E$9+1,1))-AVERAGE(OFFSET($H$3,0,0,'Données projet'!$E$9+1,1))</f>
        <v>252.28378247570731</v>
      </c>
      <c r="T190" s="59">
        <f t="shared" si="142"/>
        <v>263.50418595307343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1.3103590002896848</v>
      </c>
      <c r="AA190" s="21">
        <f>EXP(-LN(2)/25)*AA189+(1-EXP(-LN(2)/25))/(LN(2)/25)*Calculateur!V190*Calculateur!X190*VLOOKUP('Données projet'!$B$9,Paramètres!$A$1:$I$89,3,0)*0.475*44/12</f>
        <v>0</v>
      </c>
      <c r="AB190" s="21">
        <f>EXP(-LN(2)/2)*AB189+(1-EXP(-LN(2)/2))/(LN(2)/2)*V190*Y190*VLOOKUP('Données projet'!$B$9,Paramètres!$A$1:$I$89,3,0)*0.475*44/12</f>
        <v>9.4429323252899412E-23</v>
      </c>
      <c r="AC190" s="22">
        <f t="shared" si="163"/>
        <v>1.3103590002896848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-2.2737367544323206E-13</v>
      </c>
      <c r="AJ190" s="13">
        <f>AI190*VLOOKUP('Données projet'!$B$10,Paramètres!$A$1:$I$89,3,0)*VLOOKUP('Données projet'!$B$10,Paramètres!$A$1:$I$89,5,0)</f>
        <v>-1.915395841933787E-13</v>
      </c>
      <c r="AK190" s="13" t="e">
        <f t="shared" si="164"/>
        <v>#NUM!</v>
      </c>
      <c r="AL190" s="20" t="e">
        <f t="shared" si="165"/>
        <v>#NUM!</v>
      </c>
      <c r="AM190" s="59" t="e">
        <f t="shared" si="113"/>
        <v>#NUM!</v>
      </c>
      <c r="AN190" s="59">
        <f ca="1">AVERAGE(OFFSET($AM$3,0,0,'Données projet'!$E$10+1,1))-AVERAGE(OFFSET($H$3,0,0,'Données projet'!$E$10+1,1))</f>
        <v>382.67703499770795</v>
      </c>
      <c r="AO190" s="59">
        <f t="shared" si="144"/>
        <v>237.98926636458219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85.441876267875372</v>
      </c>
      <c r="AV190" s="21">
        <f>EXP(-LN(2)/25)*AV189+(1-EXP(-LN(2)/25))/(LN(2)/25)*Calculateur!AQ190*Calculateur!AS190*VLOOKUP('Données projet'!$B$10,Paramètres!$A$1:$I$89,3,0)*0.475*44/12</f>
        <v>0</v>
      </c>
      <c r="AW190" s="21">
        <f>EXP(-LN(2)/2)*AW189+(1-EXP(-LN(2)/2))/(LN(2)/2)*AQ190*AT190*VLOOKUP('Données projet'!$B$10,Paramètres!$A$1:$I$89,3,0)*0.475*44/12</f>
        <v>0</v>
      </c>
      <c r="AX190" s="21">
        <f t="shared" si="166"/>
        <v>85.441876267875372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25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102.64800000000039</v>
      </c>
      <c r="D191" s="11">
        <f t="shared" si="140"/>
        <v>27.591884256813145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1005.3605100525956</v>
      </c>
      <c r="H191" s="67">
        <f t="shared" si="110"/>
        <v>520.16779841395021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4.5474735088646412E-13</v>
      </c>
      <c r="O191" s="13">
        <f>N191*VLOOKUP('Données projet'!$B$9,Paramètres!$A$1:$I$89,3,0)*VLOOKUP('Données projet'!$B$9,Paramètres!$A$1:$I$89,5,0)</f>
        <v>2.7193891583010558E-13</v>
      </c>
      <c r="P191" s="13">
        <f t="shared" si="141"/>
        <v>3.6362267729089988E-12</v>
      </c>
      <c r="Q191" s="20">
        <f t="shared" si="162"/>
        <v>6.8067219078872727E-12</v>
      </c>
      <c r="R191" s="59">
        <f t="shared" si="109"/>
        <v>293.33333333334014</v>
      </c>
      <c r="S191" s="59">
        <f ca="1">AVERAGE(OFFSET($R$3,0,0,'Données projet'!$E$9+1,1))-AVERAGE(OFFSET($H$3,0,0,'Données projet'!$E$9+1,1))</f>
        <v>252.28378247570731</v>
      </c>
      <c r="T191" s="59">
        <f t="shared" si="142"/>
        <v>263.50418595307343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1.2846636595340759</v>
      </c>
      <c r="AA191" s="21">
        <f>EXP(-LN(2)/25)*AA190+(1-EXP(-LN(2)/25))/(LN(2)/25)*Calculateur!V191*Calculateur!X191*VLOOKUP('Données projet'!$B$9,Paramètres!$A$1:$I$89,3,0)*0.475*44/12</f>
        <v>0</v>
      </c>
      <c r="AB191" s="21">
        <f>EXP(-LN(2)/2)*AB190+(1-EXP(-LN(2)/2))/(LN(2)/2)*V191*Y191*VLOOKUP('Données projet'!$B$9,Paramètres!$A$1:$I$89,3,0)*0.475*44/12</f>
        <v>6.6771614814981707E-23</v>
      </c>
      <c r="AC191" s="22">
        <f t="shared" si="163"/>
        <v>1.2846636595340759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-2.2737367544323206E-13</v>
      </c>
      <c r="AJ191" s="13">
        <f>AI191*VLOOKUP('Données projet'!$B$10,Paramètres!$A$1:$I$89,3,0)*VLOOKUP('Données projet'!$B$10,Paramètres!$A$1:$I$89,5,0)</f>
        <v>-1.915395841933787E-13</v>
      </c>
      <c r="AK191" s="13" t="e">
        <f t="shared" si="164"/>
        <v>#NUM!</v>
      </c>
      <c r="AL191" s="20" t="e">
        <f t="shared" si="165"/>
        <v>#NUM!</v>
      </c>
      <c r="AM191" s="59" t="e">
        <f t="shared" si="113"/>
        <v>#NUM!</v>
      </c>
      <c r="AN191" s="59">
        <f ca="1">AVERAGE(OFFSET($AM$3,0,0,'Données projet'!$E$10+1,1))-AVERAGE(OFFSET($H$3,0,0,'Données projet'!$E$10+1,1))</f>
        <v>382.67703499770795</v>
      </c>
      <c r="AO191" s="59">
        <f t="shared" si="144"/>
        <v>237.98926636458219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83.766413188660991</v>
      </c>
      <c r="AV191" s="21">
        <f>EXP(-LN(2)/25)*AV190+(1-EXP(-LN(2)/25))/(LN(2)/25)*Calculateur!AQ191*Calculateur!AS191*VLOOKUP('Données projet'!$B$10,Paramètres!$A$1:$I$89,3,0)*0.475*44/12</f>
        <v>0</v>
      </c>
      <c r="AW191" s="21">
        <f>EXP(-LN(2)/2)*AW190+(1-EXP(-LN(2)/2))/(LN(2)/2)*AQ191*AT191*VLOOKUP('Données projet'!$B$10,Paramètres!$A$1:$I$89,3,0)*0.475*44/12</f>
        <v>0</v>
      </c>
      <c r="AX191" s="21">
        <f t="shared" si="166"/>
        <v>83.766413188660991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25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103.1940000000004</v>
      </c>
      <c r="D192" s="11">
        <f t="shared" si="140"/>
        <v>27.721526045872363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1010.5759905295441</v>
      </c>
      <c r="H192" s="67">
        <f t="shared" si="110"/>
        <v>521.34454119656175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4.5474735088646412E-13</v>
      </c>
      <c r="O192" s="13">
        <f>N192*VLOOKUP('Données projet'!$B$9,Paramètres!$A$1:$I$89,3,0)*VLOOKUP('Données projet'!$B$9,Paramètres!$A$1:$I$89,5,0)</f>
        <v>2.7193891583010558E-13</v>
      </c>
      <c r="P192" s="13">
        <f t="shared" si="141"/>
        <v>3.6362267729089988E-12</v>
      </c>
      <c r="Q192" s="20">
        <f t="shared" si="162"/>
        <v>6.8067219078872727E-12</v>
      </c>
      <c r="R192" s="59">
        <f t="shared" si="109"/>
        <v>293.33333333334014</v>
      </c>
      <c r="S192" s="59">
        <f ca="1">AVERAGE(OFFSET($R$3,0,0,'Données projet'!$E$9+1,1))-AVERAGE(OFFSET($H$3,0,0,'Données projet'!$E$9+1,1))</f>
        <v>252.28378247570731</v>
      </c>
      <c r="T192" s="59">
        <f t="shared" si="142"/>
        <v>263.50418595307343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1.2594721887380742</v>
      </c>
      <c r="AA192" s="21">
        <f>EXP(-LN(2)/25)*AA191+(1-EXP(-LN(2)/25))/(LN(2)/25)*Calculateur!V192*Calculateur!X192*VLOOKUP('Données projet'!$B$9,Paramètres!$A$1:$I$89,3,0)*0.475*44/12</f>
        <v>0</v>
      </c>
      <c r="AB192" s="21">
        <f>EXP(-LN(2)/2)*AB191+(1-EXP(-LN(2)/2))/(LN(2)/2)*V192*Y192*VLOOKUP('Données projet'!$B$9,Paramètres!$A$1:$I$89,3,0)*0.475*44/12</f>
        <v>4.7214661626449706E-23</v>
      </c>
      <c r="AC192" s="22">
        <f t="shared" si="163"/>
        <v>1.2594721887380742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-2.2737367544323206E-13</v>
      </c>
      <c r="AJ192" s="13">
        <f>AI192*VLOOKUP('Données projet'!$B$10,Paramètres!$A$1:$I$89,3,0)*VLOOKUP('Données projet'!$B$10,Paramètres!$A$1:$I$89,5,0)</f>
        <v>-1.915395841933787E-13</v>
      </c>
      <c r="AK192" s="13" t="e">
        <f t="shared" si="164"/>
        <v>#NUM!</v>
      </c>
      <c r="AL192" s="20" t="e">
        <f t="shared" si="165"/>
        <v>#NUM!</v>
      </c>
      <c r="AM192" s="59" t="e">
        <f t="shared" si="113"/>
        <v>#NUM!</v>
      </c>
      <c r="AN192" s="59">
        <f ca="1">AVERAGE(OFFSET($AM$3,0,0,'Données projet'!$E$10+1,1))-AVERAGE(OFFSET($H$3,0,0,'Données projet'!$E$10+1,1))</f>
        <v>382.67703499770795</v>
      </c>
      <c r="AO192" s="59">
        <f t="shared" si="144"/>
        <v>237.98926636458219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82.123804918498436</v>
      </c>
      <c r="AV192" s="21">
        <f>EXP(-LN(2)/25)*AV191+(1-EXP(-LN(2)/25))/(LN(2)/25)*Calculateur!AQ192*Calculateur!AS192*VLOOKUP('Données projet'!$B$10,Paramètres!$A$1:$I$89,3,0)*0.475*44/12</f>
        <v>0</v>
      </c>
      <c r="AW192" s="21">
        <f>EXP(-LN(2)/2)*AW191+(1-EXP(-LN(2)/2))/(LN(2)/2)*AQ192*AT192*VLOOKUP('Données projet'!$B$10,Paramètres!$A$1:$I$89,3,0)*0.475*44/12</f>
        <v>0</v>
      </c>
      <c r="AX192" s="21">
        <f t="shared" si="166"/>
        <v>82.123804918498436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25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103.74000000000041</v>
      </c>
      <c r="D193" s="11">
        <f t="shared" si="140"/>
        <v>27.851088016239451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1015.7908548622025</v>
      </c>
      <c r="H193" s="67">
        <f t="shared" si="110"/>
        <v>522.52114496161767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4.5474735088646412E-13</v>
      </c>
      <c r="O193" s="13">
        <f>N193*VLOOKUP('Données projet'!$B$9,Paramètres!$A$1:$I$89,3,0)*VLOOKUP('Données projet'!$B$9,Paramètres!$A$1:$I$89,5,0)</f>
        <v>2.7193891583010558E-13</v>
      </c>
      <c r="P193" s="13">
        <f t="shared" si="141"/>
        <v>3.6362267729089988E-12</v>
      </c>
      <c r="Q193" s="20">
        <f t="shared" si="162"/>
        <v>6.8067219078872727E-12</v>
      </c>
      <c r="R193" s="59">
        <f t="shared" si="109"/>
        <v>293.33333333334014</v>
      </c>
      <c r="S193" s="59">
        <f ca="1">AVERAGE(OFFSET($R$3,0,0,'Données projet'!$E$9+1,1))-AVERAGE(OFFSET($H$3,0,0,'Données projet'!$E$9+1,1))</f>
        <v>252.28378247570731</v>
      </c>
      <c r="T193" s="59">
        <f t="shared" si="142"/>
        <v>263.50418595307343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1.234774707319102</v>
      </c>
      <c r="AA193" s="21">
        <f>EXP(-LN(2)/25)*AA192+(1-EXP(-LN(2)/25))/(LN(2)/25)*Calculateur!V193*Calculateur!X193*VLOOKUP('Données projet'!$B$9,Paramètres!$A$1:$I$89,3,0)*0.475*44/12</f>
        <v>0</v>
      </c>
      <c r="AB193" s="21">
        <f>EXP(-LN(2)/2)*AB192+(1-EXP(-LN(2)/2))/(LN(2)/2)*V193*Y193*VLOOKUP('Données projet'!$B$9,Paramètres!$A$1:$I$89,3,0)*0.475*44/12</f>
        <v>3.3385807407490854E-23</v>
      </c>
      <c r="AC193" s="22">
        <f t="shared" si="163"/>
        <v>1.234774707319102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-2.2737367544323206E-13</v>
      </c>
      <c r="AJ193" s="13">
        <f>AI193*VLOOKUP('Données projet'!$B$10,Paramètres!$A$1:$I$89,3,0)*VLOOKUP('Données projet'!$B$10,Paramètres!$A$1:$I$89,5,0)</f>
        <v>-1.915395841933787E-13</v>
      </c>
      <c r="AK193" s="13" t="e">
        <f t="shared" si="164"/>
        <v>#NUM!</v>
      </c>
      <c r="AL193" s="20" t="e">
        <f t="shared" si="165"/>
        <v>#NUM!</v>
      </c>
      <c r="AM193" s="59" t="e">
        <f t="shared" si="113"/>
        <v>#NUM!</v>
      </c>
      <c r="AN193" s="59">
        <f ca="1">AVERAGE(OFFSET($AM$3,0,0,'Données projet'!$E$10+1,1))-AVERAGE(OFFSET($H$3,0,0,'Données projet'!$E$10+1,1))</f>
        <v>382.67703499770795</v>
      </c>
      <c r="AO193" s="59">
        <f t="shared" si="144"/>
        <v>237.98926636458219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80.513407194621649</v>
      </c>
      <c r="AV193" s="21">
        <f>EXP(-LN(2)/25)*AV192+(1-EXP(-LN(2)/25))/(LN(2)/25)*Calculateur!AQ193*Calculateur!AS193*VLOOKUP('Données projet'!$B$10,Paramètres!$A$1:$I$89,3,0)*0.475*44/12</f>
        <v>0</v>
      </c>
      <c r="AW193" s="21">
        <f>EXP(-LN(2)/2)*AW192+(1-EXP(-LN(2)/2))/(LN(2)/2)*AQ193*AT193*VLOOKUP('Données projet'!$B$10,Paramètres!$A$1:$I$89,3,0)*0.475*44/12</f>
        <v>0</v>
      </c>
      <c r="AX193" s="21">
        <f t="shared" si="166"/>
        <v>80.513407194621649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25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104.28600000000041</v>
      </c>
      <c r="D194" s="11">
        <f t="shared" si="140"/>
        <v>27.98057063677302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1021.0051066698298</v>
      </c>
      <c r="H194" s="67">
        <f t="shared" si="110"/>
        <v>523.69761052571369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4.5474735088646412E-13</v>
      </c>
      <c r="O194" s="13">
        <f>N194*VLOOKUP('Données projet'!$B$9,Paramètres!$A$1:$I$89,3,0)*VLOOKUP('Données projet'!$B$9,Paramètres!$A$1:$I$89,5,0)</f>
        <v>2.7193891583010558E-13</v>
      </c>
      <c r="P194" s="13">
        <f t="shared" si="141"/>
        <v>3.6362267729089988E-12</v>
      </c>
      <c r="Q194" s="20">
        <f t="shared" si="162"/>
        <v>6.8067219078872727E-12</v>
      </c>
      <c r="R194" s="59">
        <f t="shared" si="109"/>
        <v>293.33333333334014</v>
      </c>
      <c r="S194" s="59">
        <f ca="1">AVERAGE(OFFSET($R$3,0,0,'Données projet'!$E$9+1,1))-AVERAGE(OFFSET($H$3,0,0,'Données projet'!$E$9+1,1))</f>
        <v>252.28378247570731</v>
      </c>
      <c r="T194" s="59">
        <f t="shared" si="142"/>
        <v>263.50418595307343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1.2105615284467797</v>
      </c>
      <c r="AA194" s="21">
        <f>EXP(-LN(2)/25)*AA193+(1-EXP(-LN(2)/25))/(LN(2)/25)*Calculateur!V194*Calculateur!X194*VLOOKUP('Données projet'!$B$9,Paramètres!$A$1:$I$89,3,0)*0.475*44/12</f>
        <v>0</v>
      </c>
      <c r="AB194" s="21">
        <f>EXP(-LN(2)/2)*AB193+(1-EXP(-LN(2)/2))/(LN(2)/2)*V194*Y194*VLOOKUP('Données projet'!$B$9,Paramètres!$A$1:$I$89,3,0)*0.475*44/12</f>
        <v>2.3607330813224853E-23</v>
      </c>
      <c r="AC194" s="22">
        <f t="shared" si="163"/>
        <v>1.2105615284467797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-2.2737367544323206E-13</v>
      </c>
      <c r="AJ194" s="13">
        <f>AI194*VLOOKUP('Données projet'!$B$10,Paramètres!$A$1:$I$89,3,0)*VLOOKUP('Données projet'!$B$10,Paramètres!$A$1:$I$89,5,0)</f>
        <v>-1.915395841933787E-13</v>
      </c>
      <c r="AK194" s="13" t="e">
        <f t="shared" si="164"/>
        <v>#NUM!</v>
      </c>
      <c r="AL194" s="20" t="e">
        <f t="shared" si="165"/>
        <v>#NUM!</v>
      </c>
      <c r="AM194" s="59" t="e">
        <f t="shared" si="113"/>
        <v>#NUM!</v>
      </c>
      <c r="AN194" s="59">
        <f ca="1">AVERAGE(OFFSET($AM$3,0,0,'Données projet'!$E$10+1,1))-AVERAGE(OFFSET($H$3,0,0,'Données projet'!$E$10+1,1))</f>
        <v>382.67703499770795</v>
      </c>
      <c r="AO194" s="59">
        <f t="shared" si="144"/>
        <v>237.98926636458219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78.934588387864466</v>
      </c>
      <c r="AV194" s="21">
        <f>EXP(-LN(2)/25)*AV193+(1-EXP(-LN(2)/25))/(LN(2)/25)*Calculateur!AQ194*Calculateur!AS194*VLOOKUP('Données projet'!$B$10,Paramètres!$A$1:$I$89,3,0)*0.475*44/12</f>
        <v>0</v>
      </c>
      <c r="AW194" s="21">
        <f>EXP(-LN(2)/2)*AW193+(1-EXP(-LN(2)/2))/(LN(2)/2)*AQ194*AT194*VLOOKUP('Données projet'!$B$10,Paramètres!$A$1:$I$89,3,0)*0.475*44/12</f>
        <v>0</v>
      </c>
      <c r="AX194" s="21">
        <f t="shared" si="166"/>
        <v>78.934588387864466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25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104.83200000000042</v>
      </c>
      <c r="D195" s="11">
        <f t="shared" si="140"/>
        <v>28.10997437113782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1026.2187495315934</v>
      </c>
      <c r="H195" s="67">
        <f t="shared" si="110"/>
        <v>524.87393869639902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4.5474735088646412E-13</v>
      </c>
      <c r="O195" s="13">
        <f>N195*VLOOKUP('Données projet'!$B$9,Paramètres!$A$1:$I$89,3,0)*VLOOKUP('Données projet'!$B$9,Paramètres!$A$1:$I$89,5,0)</f>
        <v>2.7193891583010558E-13</v>
      </c>
      <c r="P195" s="13">
        <f t="shared" si="141"/>
        <v>3.6362267729089988E-12</v>
      </c>
      <c r="Q195" s="20">
        <f t="shared" si="162"/>
        <v>6.8067219078872727E-12</v>
      </c>
      <c r="R195" s="59">
        <f t="shared" ref="R195:R203" si="191">Q195+(I195+J195)*44/12</f>
        <v>293.33333333334014</v>
      </c>
      <c r="S195" s="59">
        <f ca="1">AVERAGE(OFFSET($R$3,0,0,'Données projet'!$E$9+1,1))-AVERAGE(OFFSET($H$3,0,0,'Données projet'!$E$9+1,1))</f>
        <v>252.28378247570731</v>
      </c>
      <c r="T195" s="59">
        <f t="shared" si="142"/>
        <v>263.50418595307343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1.1868231552435626</v>
      </c>
      <c r="AA195" s="21">
        <f>EXP(-LN(2)/25)*AA194+(1-EXP(-LN(2)/25))/(LN(2)/25)*Calculateur!V195*Calculateur!X195*VLOOKUP('Données projet'!$B$9,Paramètres!$A$1:$I$89,3,0)*0.475*44/12</f>
        <v>0</v>
      </c>
      <c r="AB195" s="21">
        <f>EXP(-LN(2)/2)*AB194+(1-EXP(-LN(2)/2))/(LN(2)/2)*V195*Y195*VLOOKUP('Données projet'!$B$9,Paramètres!$A$1:$I$89,3,0)*0.475*44/12</f>
        <v>1.6692903703745427E-23</v>
      </c>
      <c r="AC195" s="22">
        <f t="shared" si="163"/>
        <v>1.1868231552435626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-2.2737367544323206E-13</v>
      </c>
      <c r="AJ195" s="13">
        <f>AI195*VLOOKUP('Données projet'!$B$10,Paramètres!$A$1:$I$89,3,0)*VLOOKUP('Données projet'!$B$10,Paramètres!$A$1:$I$89,5,0)</f>
        <v>-1.915395841933787E-13</v>
      </c>
      <c r="AK195" s="13" t="e">
        <f t="shared" si="164"/>
        <v>#NUM!</v>
      </c>
      <c r="AL195" s="20" t="e">
        <f t="shared" si="165"/>
        <v>#NUM!</v>
      </c>
      <c r="AM195" s="59" t="e">
        <f t="shared" si="113"/>
        <v>#NUM!</v>
      </c>
      <c r="AN195" s="59">
        <f ca="1">AVERAGE(OFFSET($AM$3,0,0,'Données projet'!$E$10+1,1))-AVERAGE(OFFSET($H$3,0,0,'Données projet'!$E$10+1,1))</f>
        <v>382.67703499770795</v>
      </c>
      <c r="AO195" s="59">
        <f t="shared" si="144"/>
        <v>237.98926636458219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77.386729254923395</v>
      </c>
      <c r="AV195" s="21">
        <f>EXP(-LN(2)/25)*AV194+(1-EXP(-LN(2)/25))/(LN(2)/25)*Calculateur!AQ195*Calculateur!AS195*VLOOKUP('Données projet'!$B$10,Paramètres!$A$1:$I$89,3,0)*0.475*44/12</f>
        <v>0</v>
      </c>
      <c r="AW195" s="21">
        <f>EXP(-LN(2)/2)*AW194+(1-EXP(-LN(2)/2))/(LN(2)/2)*AQ195*AT195*VLOOKUP('Données projet'!$B$10,Paramètres!$A$1:$I$89,3,0)*0.475*44/12</f>
        <v>0</v>
      </c>
      <c r="AX195" s="21">
        <f t="shared" si="166"/>
        <v>77.386729254923395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25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105.37800000000043</v>
      </c>
      <c r="D196" s="11">
        <f t="shared" si="140"/>
        <v>28.239299677889207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1031.4317869872182</v>
      </c>
      <c r="H196" s="67">
        <f t="shared" ref="H196:H203" si="192">(B196+E196+F196)*44/12+(C196+D196)*0.475*44/12</f>
        <v>526.0501302723244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4.5474735088646412E-13</v>
      </c>
      <c r="O196" s="13">
        <f>N196*VLOOKUP('Données projet'!$B$9,Paramètres!$A$1:$I$89,3,0)*VLOOKUP('Données projet'!$B$9,Paramètres!$A$1:$I$89,5,0)</f>
        <v>2.7193891583010558E-13</v>
      </c>
      <c r="P196" s="13">
        <f t="shared" si="141"/>
        <v>3.6362267729089988E-12</v>
      </c>
      <c r="Q196" s="20">
        <f t="shared" si="162"/>
        <v>6.8067219078872727E-12</v>
      </c>
      <c r="R196" s="59">
        <f t="shared" si="191"/>
        <v>293.33333333334014</v>
      </c>
      <c r="S196" s="59">
        <f ca="1">AVERAGE(OFFSET($R$3,0,0,'Données projet'!$E$9+1,1))-AVERAGE(OFFSET($H$3,0,0,'Données projet'!$E$9+1,1))</f>
        <v>252.28378247570731</v>
      </c>
      <c r="T196" s="59">
        <f t="shared" si="142"/>
        <v>263.50418595307343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1.1635502770598829</v>
      </c>
      <c r="AA196" s="21">
        <f>EXP(-LN(2)/25)*AA195+(1-EXP(-LN(2)/25))/(LN(2)/25)*Calculateur!V196*Calculateur!X196*VLOOKUP('Données projet'!$B$9,Paramètres!$A$1:$I$89,3,0)*0.475*44/12</f>
        <v>0</v>
      </c>
      <c r="AB196" s="21">
        <f>EXP(-LN(2)/2)*AB195+(1-EXP(-LN(2)/2))/(LN(2)/2)*V196*Y196*VLOOKUP('Données projet'!$B$9,Paramètres!$A$1:$I$89,3,0)*0.475*44/12</f>
        <v>1.1803665406612426E-23</v>
      </c>
      <c r="AC196" s="22">
        <f t="shared" si="163"/>
        <v>1.1635502770598829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-2.2737367544323206E-13</v>
      </c>
      <c r="AJ196" s="13">
        <f>AI196*VLOOKUP('Données projet'!$B$10,Paramètres!$A$1:$I$89,3,0)*VLOOKUP('Données projet'!$B$10,Paramètres!$A$1:$I$89,5,0)</f>
        <v>-1.915395841933787E-13</v>
      </c>
      <c r="AK196" s="13" t="e">
        <f t="shared" si="164"/>
        <v>#NUM!</v>
      </c>
      <c r="AL196" s="20" t="e">
        <f t="shared" si="165"/>
        <v>#NUM!</v>
      </c>
      <c r="AM196" s="59" t="e">
        <f t="shared" ref="AM196:AM203" si="193">AL196+(AD196+AE196)*44/12</f>
        <v>#NUM!</v>
      </c>
      <c r="AN196" s="59">
        <f ca="1">AVERAGE(OFFSET($AM$3,0,0,'Données projet'!$E$10+1,1))-AVERAGE(OFFSET($H$3,0,0,'Données projet'!$E$10+1,1))</f>
        <v>382.67703499770795</v>
      </c>
      <c r="AO196" s="59">
        <f t="shared" si="144"/>
        <v>237.98926636458219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75.869222695478456</v>
      </c>
      <c r="AV196" s="21">
        <f>EXP(-LN(2)/25)*AV195+(1-EXP(-LN(2)/25))/(LN(2)/25)*Calculateur!AQ196*Calculateur!AS196*VLOOKUP('Données projet'!$B$10,Paramètres!$A$1:$I$89,3,0)*0.475*44/12</f>
        <v>0</v>
      </c>
      <c r="AW196" s="21">
        <f>EXP(-LN(2)/2)*AW195+(1-EXP(-LN(2)/2))/(LN(2)/2)*AQ196*AT196*VLOOKUP('Données projet'!$B$10,Paramètres!$A$1:$I$89,3,0)*0.475*44/12</f>
        <v>0</v>
      </c>
      <c r="AX196" s="21">
        <f t="shared" si="166"/>
        <v>75.869222695478456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25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105.92400000000043</v>
      </c>
      <c r="D197" s="11">
        <f t="shared" ref="D197:D203" si="202">IFERROR(EXP(-1.0587+0.8836*LN(C197)+0.284),0)</f>
        <v>28.368547010555559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1036.6442225376254</v>
      </c>
      <c r="H197" s="67">
        <f t="shared" si="192"/>
        <v>527.22618604338504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4.5474735088646412E-13</v>
      </c>
      <c r="O197" s="13">
        <f>N197*VLOOKUP('Données projet'!$B$9,Paramètres!$A$1:$I$89,3,0)*VLOOKUP('Données projet'!$B$9,Paramètres!$A$1:$I$89,5,0)</f>
        <v>2.7193891583010558E-13</v>
      </c>
      <c r="P197" s="13">
        <f t="shared" ref="P197:P203" si="203">EXP(-1.0587+0.8836*LN(O197)+0.284)</f>
        <v>3.6362267729089988E-12</v>
      </c>
      <c r="Q197" s="20">
        <f t="shared" si="162"/>
        <v>6.8067219078872727E-12</v>
      </c>
      <c r="R197" s="59">
        <f t="shared" si="191"/>
        <v>293.33333333334014</v>
      </c>
      <c r="S197" s="59">
        <f ca="1">AVERAGE(OFFSET($R$3,0,0,'Données projet'!$E$9+1,1))-AVERAGE(OFFSET($H$3,0,0,'Données projet'!$E$9+1,1))</f>
        <v>252.28378247570731</v>
      </c>
      <c r="T197" s="59">
        <f t="shared" ref="T197:T203" si="204">$T$3</f>
        <v>263.50418595307343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1.1407337658223309</v>
      </c>
      <c r="AA197" s="21">
        <f>EXP(-LN(2)/25)*AA196+(1-EXP(-LN(2)/25))/(LN(2)/25)*Calculateur!V197*Calculateur!X197*VLOOKUP('Données projet'!$B$9,Paramètres!$A$1:$I$89,3,0)*0.475*44/12</f>
        <v>0</v>
      </c>
      <c r="AB197" s="21">
        <f>EXP(-LN(2)/2)*AB196+(1-EXP(-LN(2)/2))/(LN(2)/2)*V197*Y197*VLOOKUP('Données projet'!$B$9,Paramètres!$A$1:$I$89,3,0)*0.475*44/12</f>
        <v>8.3464518518727134E-24</v>
      </c>
      <c r="AC197" s="22">
        <f t="shared" si="163"/>
        <v>1.1407337658223309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-2.2737367544323206E-13</v>
      </c>
      <c r="AJ197" s="13">
        <f>AI197*VLOOKUP('Données projet'!$B$10,Paramètres!$A$1:$I$89,3,0)*VLOOKUP('Données projet'!$B$10,Paramètres!$A$1:$I$89,5,0)</f>
        <v>-1.915395841933787E-13</v>
      </c>
      <c r="AK197" s="13" t="e">
        <f t="shared" si="164"/>
        <v>#NUM!</v>
      </c>
      <c r="AL197" s="20" t="e">
        <f t="shared" si="165"/>
        <v>#NUM!</v>
      </c>
      <c r="AM197" s="59" t="e">
        <f t="shared" si="193"/>
        <v>#NUM!</v>
      </c>
      <c r="AN197" s="59">
        <f ca="1">AVERAGE(OFFSET($AM$3,0,0,'Données projet'!$E$10+1,1))-AVERAGE(OFFSET($H$3,0,0,'Données projet'!$E$10+1,1))</f>
        <v>382.67703499770795</v>
      </c>
      <c r="AO197" s="59">
        <f t="shared" ref="AO197:AO203" si="205">$AO$3</f>
        <v>237.98926636458219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74.381473514076632</v>
      </c>
      <c r="AV197" s="21">
        <f>EXP(-LN(2)/25)*AV196+(1-EXP(-LN(2)/25))/(LN(2)/25)*Calculateur!AQ197*Calculateur!AS197*VLOOKUP('Données projet'!$B$10,Paramètres!$A$1:$I$89,3,0)*0.475*44/12</f>
        <v>0</v>
      </c>
      <c r="AW197" s="21">
        <f>EXP(-LN(2)/2)*AW196+(1-EXP(-LN(2)/2))/(LN(2)/2)*AQ197*AT197*VLOOKUP('Données projet'!$B$10,Paramètres!$A$1:$I$89,3,0)*0.475*44/12</f>
        <v>0</v>
      </c>
      <c r="AX197" s="21">
        <f t="shared" si="166"/>
        <v>74.381473514076632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25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106.47000000000044</v>
      </c>
      <c r="D198" s="11">
        <f t="shared" si="202"/>
        <v>28.497716817719009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1041.8560596455538</v>
      </c>
      <c r="H198" s="67">
        <f t="shared" si="192"/>
        <v>528.40210679086135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4.5474735088646412E-13</v>
      </c>
      <c r="O198" s="13">
        <f>N198*VLOOKUP('Données projet'!$B$9,Paramètres!$A$1:$I$89,3,0)*VLOOKUP('Données projet'!$B$9,Paramètres!$A$1:$I$89,5,0)</f>
        <v>2.7193891583010558E-13</v>
      </c>
      <c r="P198" s="13">
        <f t="shared" si="203"/>
        <v>3.6362267729089988E-12</v>
      </c>
      <c r="Q198" s="20">
        <f t="shared" si="162"/>
        <v>6.8067219078872727E-12</v>
      </c>
      <c r="R198" s="59">
        <f t="shared" si="191"/>
        <v>293.33333333334014</v>
      </c>
      <c r="S198" s="59">
        <f ca="1">AVERAGE(OFFSET($R$3,0,0,'Données projet'!$E$9+1,1))-AVERAGE(OFFSET($H$3,0,0,'Données projet'!$E$9+1,1))</f>
        <v>252.28378247570731</v>
      </c>
      <c r="T198" s="59">
        <f t="shared" si="204"/>
        <v>263.50418595307343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1.1183646724534497</v>
      </c>
      <c r="AA198" s="21">
        <f>EXP(-LN(2)/25)*AA197+(1-EXP(-LN(2)/25))/(LN(2)/25)*Calculateur!V198*Calculateur!X198*VLOOKUP('Données projet'!$B$9,Paramètres!$A$1:$I$89,3,0)*0.475*44/12</f>
        <v>0</v>
      </c>
      <c r="AB198" s="21">
        <f>EXP(-LN(2)/2)*AB197+(1-EXP(-LN(2)/2))/(LN(2)/2)*V198*Y198*VLOOKUP('Données projet'!$B$9,Paramètres!$A$1:$I$89,3,0)*0.475*44/12</f>
        <v>5.9018327033062132E-24</v>
      </c>
      <c r="AC198" s="22">
        <f t="shared" si="163"/>
        <v>1.1183646724534497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-2.2737367544323206E-13</v>
      </c>
      <c r="AJ198" s="13">
        <f>AI198*VLOOKUP('Données projet'!$B$10,Paramètres!$A$1:$I$89,3,0)*VLOOKUP('Données projet'!$B$10,Paramètres!$A$1:$I$89,5,0)</f>
        <v>-1.915395841933787E-13</v>
      </c>
      <c r="AK198" s="13" t="e">
        <f t="shared" si="164"/>
        <v>#NUM!</v>
      </c>
      <c r="AL198" s="20" t="e">
        <f t="shared" si="165"/>
        <v>#NUM!</v>
      </c>
      <c r="AM198" s="59" t="e">
        <f t="shared" si="193"/>
        <v>#NUM!</v>
      </c>
      <c r="AN198" s="59">
        <f ca="1">AVERAGE(OFFSET($AM$3,0,0,'Données projet'!$E$10+1,1))-AVERAGE(OFFSET($H$3,0,0,'Données projet'!$E$10+1,1))</f>
        <v>382.67703499770795</v>
      </c>
      <c r="AO198" s="59">
        <f t="shared" si="205"/>
        <v>237.98926636458219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72.922898186684691</v>
      </c>
      <c r="AV198" s="21">
        <f>EXP(-LN(2)/25)*AV197+(1-EXP(-LN(2)/25))/(LN(2)/25)*Calculateur!AQ198*Calculateur!AS198*VLOOKUP('Données projet'!$B$10,Paramètres!$A$1:$I$89,3,0)*0.475*44/12</f>
        <v>0</v>
      </c>
      <c r="AW198" s="21">
        <f>EXP(-LN(2)/2)*AW197+(1-EXP(-LN(2)/2))/(LN(2)/2)*AQ198*AT198*VLOOKUP('Données projet'!$B$10,Paramètres!$A$1:$I$89,3,0)*0.475*44/12</f>
        <v>0</v>
      </c>
      <c r="AX198" s="21">
        <f t="shared" si="166"/>
        <v>72.922898186684691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25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107.01600000000045</v>
      </c>
      <c r="D199" s="11">
        <f t="shared" si="202"/>
        <v>28.626809543094431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1047.0673017361712</v>
      </c>
      <c r="H199" s="67">
        <f t="shared" si="192"/>
        <v>529.57789328755689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4.5474735088646412E-13</v>
      </c>
      <c r="O199" s="13">
        <f>N199*VLOOKUP('Données projet'!$B$9,Paramètres!$A$1:$I$89,3,0)*VLOOKUP('Données projet'!$B$9,Paramètres!$A$1:$I$89,5,0)</f>
        <v>2.7193891583010558E-13</v>
      </c>
      <c r="P199" s="13">
        <f t="shared" si="203"/>
        <v>3.6362267729089988E-12</v>
      </c>
      <c r="Q199" s="20">
        <f t="shared" si="162"/>
        <v>6.8067219078872727E-12</v>
      </c>
      <c r="R199" s="59">
        <f t="shared" si="191"/>
        <v>293.33333333334014</v>
      </c>
      <c r="S199" s="59">
        <f ca="1">AVERAGE(OFFSET($R$3,0,0,'Données projet'!$E$9+1,1))-AVERAGE(OFFSET($H$3,0,0,'Données projet'!$E$9+1,1))</f>
        <v>252.28378247570731</v>
      </c>
      <c r="T199" s="59">
        <f t="shared" si="204"/>
        <v>263.50418595307343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1.0964342233617326</v>
      </c>
      <c r="AA199" s="21">
        <f>EXP(-LN(2)/25)*AA198+(1-EXP(-LN(2)/25))/(LN(2)/25)*Calculateur!V199*Calculateur!X199*VLOOKUP('Données projet'!$B$9,Paramètres!$A$1:$I$89,3,0)*0.475*44/12</f>
        <v>0</v>
      </c>
      <c r="AB199" s="21">
        <f>EXP(-LN(2)/2)*AB198+(1-EXP(-LN(2)/2))/(LN(2)/2)*V199*Y199*VLOOKUP('Données projet'!$B$9,Paramètres!$A$1:$I$89,3,0)*0.475*44/12</f>
        <v>4.1732259259363567E-24</v>
      </c>
      <c r="AC199" s="22">
        <f t="shared" si="163"/>
        <v>1.0964342233617326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-2.2737367544323206E-13</v>
      </c>
      <c r="AJ199" s="13">
        <f>AI199*VLOOKUP('Données projet'!$B$10,Paramètres!$A$1:$I$89,3,0)*VLOOKUP('Données projet'!$B$10,Paramètres!$A$1:$I$89,5,0)</f>
        <v>-1.915395841933787E-13</v>
      </c>
      <c r="AK199" s="13" t="e">
        <f t="shared" si="164"/>
        <v>#NUM!</v>
      </c>
      <c r="AL199" s="20" t="e">
        <f t="shared" si="165"/>
        <v>#NUM!</v>
      </c>
      <c r="AM199" s="59" t="e">
        <f t="shared" si="193"/>
        <v>#NUM!</v>
      </c>
      <c r="AN199" s="59">
        <f ca="1">AVERAGE(OFFSET($AM$3,0,0,'Données projet'!$E$10+1,1))-AVERAGE(OFFSET($H$3,0,0,'Données projet'!$E$10+1,1))</f>
        <v>382.67703499770795</v>
      </c>
      <c r="AO199" s="59">
        <f t="shared" si="205"/>
        <v>237.98926636458219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71.492924631819804</v>
      </c>
      <c r="AV199" s="21">
        <f>EXP(-LN(2)/25)*AV198+(1-EXP(-LN(2)/25))/(LN(2)/25)*Calculateur!AQ199*Calculateur!AS199*VLOOKUP('Données projet'!$B$10,Paramètres!$A$1:$I$89,3,0)*0.475*44/12</f>
        <v>0</v>
      </c>
      <c r="AW199" s="21">
        <f>EXP(-LN(2)/2)*AW198+(1-EXP(-LN(2)/2))/(LN(2)/2)*AQ199*AT199*VLOOKUP('Données projet'!$B$10,Paramètres!$A$1:$I$89,3,0)*0.475*44/12</f>
        <v>0</v>
      </c>
      <c r="AX199" s="21">
        <f t="shared" si="166"/>
        <v>71.492924631819804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25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107.56200000000045</v>
      </c>
      <c r="D200" s="11">
        <f t="shared" si="202"/>
        <v>28.755825625606846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1052.2779521976704</v>
      </c>
      <c r="H200" s="67">
        <f t="shared" si="192"/>
        <v>530.75354629793264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4.5474735088646412E-13</v>
      </c>
      <c r="O200" s="13">
        <f>N200*VLOOKUP('Données projet'!$B$9,Paramètres!$A$1:$I$89,3,0)*VLOOKUP('Données projet'!$B$9,Paramètres!$A$1:$I$89,5,0)</f>
        <v>2.7193891583010558E-13</v>
      </c>
      <c r="P200" s="13">
        <f t="shared" si="203"/>
        <v>3.6362267729089988E-12</v>
      </c>
      <c r="Q200" s="20">
        <f t="shared" si="162"/>
        <v>6.8067219078872727E-12</v>
      </c>
      <c r="R200" s="59">
        <f t="shared" si="191"/>
        <v>293.33333333334014</v>
      </c>
      <c r="S200" s="59">
        <f ca="1">AVERAGE(OFFSET($R$3,0,0,'Données projet'!$E$9+1,1))-AVERAGE(OFFSET($H$3,0,0,'Données projet'!$E$9+1,1))</f>
        <v>252.28378247570731</v>
      </c>
      <c r="T200" s="59">
        <f t="shared" si="204"/>
        <v>263.50418595307343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1.0749338170004508</v>
      </c>
      <c r="AA200" s="21">
        <f>EXP(-LN(2)/25)*AA199+(1-EXP(-LN(2)/25))/(LN(2)/25)*Calculateur!V200*Calculateur!X200*VLOOKUP('Données projet'!$B$9,Paramètres!$A$1:$I$89,3,0)*0.475*44/12</f>
        <v>0</v>
      </c>
      <c r="AB200" s="21">
        <f>EXP(-LN(2)/2)*AB199+(1-EXP(-LN(2)/2))/(LN(2)/2)*V200*Y200*VLOOKUP('Données projet'!$B$9,Paramètres!$A$1:$I$89,3,0)*0.475*44/12</f>
        <v>2.9509163516531066E-24</v>
      </c>
      <c r="AC200" s="22">
        <f t="shared" si="163"/>
        <v>1.0749338170004508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-2.2737367544323206E-13</v>
      </c>
      <c r="AJ200" s="13">
        <f>AI200*VLOOKUP('Données projet'!$B$10,Paramètres!$A$1:$I$89,3,0)*VLOOKUP('Données projet'!$B$10,Paramètres!$A$1:$I$89,5,0)</f>
        <v>-1.915395841933787E-13</v>
      </c>
      <c r="AK200" s="13" t="e">
        <f t="shared" si="164"/>
        <v>#NUM!</v>
      </c>
      <c r="AL200" s="20" t="e">
        <f t="shared" si="165"/>
        <v>#NUM!</v>
      </c>
      <c r="AM200" s="59" t="e">
        <f t="shared" si="193"/>
        <v>#NUM!</v>
      </c>
      <c r="AN200" s="59">
        <f ca="1">AVERAGE(OFFSET($AM$3,0,0,'Données projet'!$E$10+1,1))-AVERAGE(OFFSET($H$3,0,0,'Données projet'!$E$10+1,1))</f>
        <v>382.67703499770795</v>
      </c>
      <c r="AO200" s="59">
        <f t="shared" si="205"/>
        <v>237.98926636458219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70.090991986168078</v>
      </c>
      <c r="AV200" s="21">
        <f>EXP(-LN(2)/25)*AV199+(1-EXP(-LN(2)/25))/(LN(2)/25)*Calculateur!AQ200*Calculateur!AS200*VLOOKUP('Données projet'!$B$10,Paramètres!$A$1:$I$89,3,0)*0.475*44/12</f>
        <v>0</v>
      </c>
      <c r="AW200" s="21">
        <f>EXP(-LN(2)/2)*AW199+(1-EXP(-LN(2)/2))/(LN(2)/2)*AQ200*AT200*VLOOKUP('Données projet'!$B$10,Paramètres!$A$1:$I$89,3,0)*0.475*44/12</f>
        <v>0</v>
      </c>
      <c r="AX200" s="21">
        <f t="shared" si="166"/>
        <v>70.090991986168078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25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108.10800000000046</v>
      </c>
      <c r="D201" s="11">
        <f t="shared" si="202"/>
        <v>28.884765499467239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1057.4880143818561</v>
      </c>
      <c r="H201" s="67">
        <f t="shared" si="192"/>
        <v>531.9290665782396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4.5474735088646412E-13</v>
      </c>
      <c r="O201" s="13">
        <f>N201*VLOOKUP('Données projet'!$B$9,Paramètres!$A$1:$I$89,3,0)*VLOOKUP('Données projet'!$B$9,Paramètres!$A$1:$I$89,5,0)</f>
        <v>2.7193891583010558E-13</v>
      </c>
      <c r="P201" s="13">
        <f t="shared" si="203"/>
        <v>3.6362267729089988E-12</v>
      </c>
      <c r="Q201" s="20">
        <f t="shared" si="162"/>
        <v>6.8067219078872727E-12</v>
      </c>
      <c r="R201" s="59">
        <f t="shared" si="191"/>
        <v>293.33333333334014</v>
      </c>
      <c r="S201" s="59">
        <f ca="1">AVERAGE(OFFSET($R$3,0,0,'Données projet'!$E$9+1,1))-AVERAGE(OFFSET($H$3,0,0,'Données projet'!$E$9+1,1))</f>
        <v>252.28378247570731</v>
      </c>
      <c r="T201" s="59">
        <f t="shared" si="204"/>
        <v>263.50418595307343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1.0538550204939607</v>
      </c>
      <c r="AA201" s="21">
        <f>EXP(-LN(2)/25)*AA200+(1-EXP(-LN(2)/25))/(LN(2)/25)*Calculateur!V201*Calculateur!X201*VLOOKUP('Données projet'!$B$9,Paramètres!$A$1:$I$89,3,0)*0.475*44/12</f>
        <v>0</v>
      </c>
      <c r="AB201" s="21">
        <f>EXP(-LN(2)/2)*AB200+(1-EXP(-LN(2)/2))/(LN(2)/2)*V201*Y201*VLOOKUP('Données projet'!$B$9,Paramètres!$A$1:$I$89,3,0)*0.475*44/12</f>
        <v>2.0866129629681784E-24</v>
      </c>
      <c r="AC201" s="22">
        <f t="shared" si="163"/>
        <v>1.0538550204939607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-2.2737367544323206E-13</v>
      </c>
      <c r="AJ201" s="13">
        <f>AI201*VLOOKUP('Données projet'!$B$10,Paramètres!$A$1:$I$89,3,0)*VLOOKUP('Données projet'!$B$10,Paramètres!$A$1:$I$89,5,0)</f>
        <v>-1.915395841933787E-13</v>
      </c>
      <c r="AK201" s="13" t="e">
        <f t="shared" si="164"/>
        <v>#NUM!</v>
      </c>
      <c r="AL201" s="20" t="e">
        <f t="shared" si="165"/>
        <v>#NUM!</v>
      </c>
      <c r="AM201" s="59" t="e">
        <f t="shared" si="193"/>
        <v>#NUM!</v>
      </c>
      <c r="AN201" s="59">
        <f ca="1">AVERAGE(OFFSET($AM$3,0,0,'Données projet'!$E$10+1,1))-AVERAGE(OFFSET($H$3,0,0,'Données projet'!$E$10+1,1))</f>
        <v>382.67703499770795</v>
      </c>
      <c r="AO201" s="59">
        <f t="shared" si="205"/>
        <v>237.98926636458219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68.716550384603096</v>
      </c>
      <c r="AV201" s="21">
        <f>EXP(-LN(2)/25)*AV200+(1-EXP(-LN(2)/25))/(LN(2)/25)*Calculateur!AQ201*Calculateur!AS201*VLOOKUP('Données projet'!$B$10,Paramètres!$A$1:$I$89,3,0)*0.475*44/12</f>
        <v>0</v>
      </c>
      <c r="AW201" s="21">
        <f>EXP(-LN(2)/2)*AW200+(1-EXP(-LN(2)/2))/(LN(2)/2)*AQ201*AT201*VLOOKUP('Données projet'!$B$10,Paramètres!$A$1:$I$89,3,0)*0.475*44/12</f>
        <v>0</v>
      </c>
      <c r="AX201" s="21">
        <f t="shared" si="166"/>
        <v>68.716550384603096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25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108.65400000000047</v>
      </c>
      <c r="D202" s="11">
        <f t="shared" si="202"/>
        <v>29.013629594246641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1062.6974916047145</v>
      </c>
      <c r="H202" s="67">
        <f t="shared" si="192"/>
        <v>533.10445487664697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4.5474735088646412E-13</v>
      </c>
      <c r="O202" s="13">
        <f>N202*VLOOKUP('Données projet'!$B$9,Paramètres!$A$1:$I$89,3,0)*VLOOKUP('Données projet'!$B$9,Paramètres!$A$1:$I$89,5,0)</f>
        <v>2.7193891583010558E-13</v>
      </c>
      <c r="P202" s="13">
        <f t="shared" si="203"/>
        <v>3.6362267729089988E-12</v>
      </c>
      <c r="Q202" s="20">
        <f t="shared" si="162"/>
        <v>6.8067219078872727E-12</v>
      </c>
      <c r="R202" s="59">
        <f t="shared" si="191"/>
        <v>293.33333333334014</v>
      </c>
      <c r="S202" s="59">
        <f ca="1">AVERAGE(OFFSET($R$3,0,0,'Données projet'!$E$9+1,1))-AVERAGE(OFFSET($H$3,0,0,'Données projet'!$E$9+1,1))</f>
        <v>252.28378247570731</v>
      </c>
      <c r="T202" s="59">
        <f t="shared" si="204"/>
        <v>263.50418595307343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1.0331895663301667</v>
      </c>
      <c r="AA202" s="21">
        <f>EXP(-LN(2)/25)*AA201+(1-EXP(-LN(2)/25))/(LN(2)/25)*Calculateur!V202*Calculateur!X202*VLOOKUP('Données projet'!$B$9,Paramètres!$A$1:$I$89,3,0)*0.475*44/12</f>
        <v>0</v>
      </c>
      <c r="AB202" s="21">
        <f>EXP(-LN(2)/2)*AB201+(1-EXP(-LN(2)/2))/(LN(2)/2)*V202*Y202*VLOOKUP('Données projet'!$B$9,Paramètres!$A$1:$I$89,3,0)*0.475*44/12</f>
        <v>1.4754581758265533E-24</v>
      </c>
      <c r="AC202" s="22">
        <f t="shared" si="163"/>
        <v>1.0331895663301667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-2.2737367544323206E-13</v>
      </c>
      <c r="AJ202" s="13">
        <f>AI202*VLOOKUP('Données projet'!$B$10,Paramètres!$A$1:$I$89,3,0)*VLOOKUP('Données projet'!$B$10,Paramètres!$A$1:$I$89,5,0)</f>
        <v>-1.915395841933787E-13</v>
      </c>
      <c r="AK202" s="13" t="e">
        <f t="shared" si="164"/>
        <v>#NUM!</v>
      </c>
      <c r="AL202" s="20" t="e">
        <f t="shared" si="165"/>
        <v>#NUM!</v>
      </c>
      <c r="AM202" s="59" t="e">
        <f t="shared" si="193"/>
        <v>#NUM!</v>
      </c>
      <c r="AN202" s="59">
        <f ca="1">AVERAGE(OFFSET($AM$3,0,0,'Données projet'!$E$10+1,1))-AVERAGE(OFFSET($H$3,0,0,'Données projet'!$E$10+1,1))</f>
        <v>382.67703499770795</v>
      </c>
      <c r="AO202" s="59">
        <f t="shared" si="205"/>
        <v>237.98926636458219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67.369060744518208</v>
      </c>
      <c r="AV202" s="21">
        <f>EXP(-LN(2)/25)*AV201+(1-EXP(-LN(2)/25))/(LN(2)/25)*Calculateur!AQ202*Calculateur!AS202*VLOOKUP('Données projet'!$B$10,Paramètres!$A$1:$I$89,3,0)*0.475*44/12</f>
        <v>0</v>
      </c>
      <c r="AW202" s="21">
        <f>EXP(-LN(2)/2)*AW201+(1-EXP(-LN(2)/2))/(LN(2)/2)*AQ202*AT202*VLOOKUP('Données projet'!$B$10,Paramètres!$A$1:$I$89,3,0)*0.475*44/12</f>
        <v>0</v>
      </c>
      <c r="AX202" s="21">
        <f t="shared" si="166"/>
        <v>67.369060744518208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.75" thickBot="1" x14ac:dyDescent="0.3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109.20000000000047</v>
      </c>
      <c r="D203" s="11">
        <f t="shared" si="202"/>
        <v>29.142418334948719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1067.9063871469764</v>
      </c>
      <c r="H203" s="67">
        <f t="shared" si="192"/>
        <v>534.27971193336975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4.5474735088646412E-13</v>
      </c>
      <c r="O203" s="13">
        <f>N203*VLOOKUP('Données projet'!$B$9,Paramètres!$A$1:$I$89,3,0)*VLOOKUP('Données projet'!$B$9,Paramètres!$A$1:$I$89,5,0)</f>
        <v>2.7193891583010558E-13</v>
      </c>
      <c r="P203" s="13">
        <f t="shared" si="203"/>
        <v>3.6362267729089988E-12</v>
      </c>
      <c r="Q203" s="20">
        <f t="shared" si="162"/>
        <v>6.8067219078872727E-12</v>
      </c>
      <c r="R203" s="59">
        <f t="shared" si="191"/>
        <v>293.33333333334014</v>
      </c>
      <c r="S203" s="59">
        <f ca="1">AVERAGE(OFFSET($R$3,0,0,'Données projet'!$E$9+1,1))-AVERAGE(OFFSET($H$3,0,0,'Données projet'!$E$9+1,1))</f>
        <v>252.28378247570731</v>
      </c>
      <c r="T203" s="59">
        <f t="shared" si="204"/>
        <v>263.50418595307343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1.0129293491178422</v>
      </c>
      <c r="AA203" s="21">
        <f>EXP(-LN(2)/25)*AA202+(1-EXP(-LN(2)/25))/(LN(2)/25)*Calculateur!V203*Calculateur!X203*VLOOKUP('Données projet'!$B$9,Paramètres!$A$1:$I$89,3,0)*0.475*44/12</f>
        <v>0</v>
      </c>
      <c r="AB203" s="21">
        <f>EXP(-LN(2)/2)*AB202+(1-EXP(-LN(2)/2))/(LN(2)/2)*V203*Y203*VLOOKUP('Données projet'!$B$9,Paramètres!$A$1:$I$89,3,0)*0.475*44/12</f>
        <v>1.0433064814840892E-24</v>
      </c>
      <c r="AC203" s="22">
        <f t="shared" si="163"/>
        <v>1.0129293491178422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-2.2737367544323206E-13</v>
      </c>
      <c r="AJ203" s="13">
        <f>AI203*VLOOKUP('Données projet'!$B$10,Paramètres!$A$1:$I$89,3,0)*VLOOKUP('Données projet'!$B$10,Paramètres!$A$1:$I$89,5,0)</f>
        <v>-1.915395841933787E-13</v>
      </c>
      <c r="AK203" s="13" t="e">
        <f t="shared" si="164"/>
        <v>#NUM!</v>
      </c>
      <c r="AL203" s="20" t="e">
        <f t="shared" si="165"/>
        <v>#NUM!</v>
      </c>
      <c r="AM203" s="59" t="e">
        <f t="shared" si="193"/>
        <v>#NUM!</v>
      </c>
      <c r="AN203" s="59">
        <f ca="1">AVERAGE(OFFSET($AM$3,0,0,'Données projet'!$E$10+1,1))-AVERAGE(OFFSET($H$3,0,0,'Données projet'!$E$10+1,1))</f>
        <v>382.67703499770795</v>
      </c>
      <c r="AO203" s="59">
        <f t="shared" si="205"/>
        <v>237.98926636458219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66.047994554387856</v>
      </c>
      <c r="AV203" s="21">
        <f>EXP(-LN(2)/25)*AV202+(1-EXP(-LN(2)/25))/(LN(2)/25)*Calculateur!AQ203*Calculateur!AS203*VLOOKUP('Données projet'!$B$10,Paramètres!$A$1:$I$89,3,0)*0.475*44/12</f>
        <v>0</v>
      </c>
      <c r="AW203" s="21">
        <f>EXP(-LN(2)/2)*AW202+(1-EXP(-LN(2)/2))/(LN(2)/2)*AQ203*AT203*VLOOKUP('Données projet'!$B$10,Paramètres!$A$1:$I$89,3,0)*0.475*44/12</f>
        <v>0</v>
      </c>
      <c r="AX203" s="21">
        <f t="shared" si="166"/>
        <v>66.047994554387856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.75" thickBot="1" x14ac:dyDescent="0.3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5.75" thickBot="1" x14ac:dyDescent="0.3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1.3763223570336161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>
        <f>EXP(LN('Données projet'!B62)/'Données projet'!A62)</f>
        <v>1.2392705892426346</v>
      </c>
      <c r="BA205" s="82" t="e">
        <f>EXP(LN('Données projet'!B88)/'Données projet'!A88)</f>
        <v>#NUM!</v>
      </c>
      <c r="BV205" s="82" t="e">
        <f>EXP(LN('Données projet'!B114)/'Données projet'!A114)</f>
        <v>#NUM!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4" bestFit="1" customWidth="1"/>
    <col min="2" max="2" width="27.7109375" style="4" bestFit="1" customWidth="1"/>
    <col min="3" max="3" width="11.85546875" style="4" bestFit="1" customWidth="1"/>
    <col min="4" max="4" width="40" style="4" bestFit="1" customWidth="1"/>
    <col min="5" max="5" width="11.85546875" style="4" bestFit="1" customWidth="1"/>
    <col min="6" max="6" width="13.7109375" style="4" bestFit="1" customWidth="1"/>
    <col min="7" max="7" width="11.42578125" style="4" bestFit="1" customWidth="1"/>
    <col min="8" max="8" width="39" style="4" bestFit="1" customWidth="1"/>
    <col min="9" max="9" width="16.7109375" style="4" customWidth="1"/>
    <col min="10" max="14" width="11.42578125" style="4"/>
    <col min="15" max="15" width="23.42578125" style="4" bestFit="1" customWidth="1"/>
    <col min="16" max="16384" width="11.42578125" style="4"/>
  </cols>
  <sheetData>
    <row r="1" spans="1:16" ht="45.75" thickBot="1" x14ac:dyDescent="0.3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25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1" t="s">
        <v>238</v>
      </c>
      <c r="P2" s="121">
        <v>0</v>
      </c>
    </row>
    <row r="3" spans="1:16" ht="15.75" thickBot="1" x14ac:dyDescent="0.3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2"/>
      <c r="P3" s="128">
        <v>0.2</v>
      </c>
    </row>
    <row r="4" spans="1:16" ht="15.75" thickBot="1" x14ac:dyDescent="0.3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25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1" t="s">
        <v>237</v>
      </c>
      <c r="P5" s="121">
        <v>0</v>
      </c>
    </row>
    <row r="6" spans="1:16" x14ac:dyDescent="0.25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83"/>
      <c r="P6" s="129">
        <v>0.05</v>
      </c>
    </row>
    <row r="7" spans="1:16" x14ac:dyDescent="0.25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83"/>
      <c r="P7" s="129">
        <v>0.1</v>
      </c>
    </row>
    <row r="8" spans="1:16" ht="15.75" thickBot="1" x14ac:dyDescent="0.3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2"/>
      <c r="P8" s="128">
        <v>0.15</v>
      </c>
    </row>
    <row r="9" spans="1:16" ht="15.75" thickBot="1" x14ac:dyDescent="0.3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25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1" t="s">
        <v>236</v>
      </c>
      <c r="P10" s="121">
        <v>0</v>
      </c>
    </row>
    <row r="11" spans="1:16" ht="15.75" thickBot="1" x14ac:dyDescent="0.3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2"/>
      <c r="P11" s="128">
        <v>0.1</v>
      </c>
    </row>
    <row r="12" spans="1:16" x14ac:dyDescent="0.25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25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25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25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25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25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25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25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25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25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25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25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25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25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25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25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25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25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25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25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25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25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25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25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25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25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25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25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25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25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25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25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25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25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25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25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25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25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25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25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25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25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25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25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25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25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25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25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25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25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25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25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25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25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25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25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25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25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25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25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25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25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25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25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25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25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25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25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25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25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25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25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25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25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25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25">
      <c r="A87" s="251" t="s">
        <v>321</v>
      </c>
      <c r="B87" s="252" t="s">
        <v>322</v>
      </c>
      <c r="C87" s="253">
        <v>0.41</v>
      </c>
      <c r="D87" s="253" t="s">
        <v>323</v>
      </c>
      <c r="E87" s="253">
        <v>1.56</v>
      </c>
      <c r="F87" s="254" t="s">
        <v>274</v>
      </c>
      <c r="G87" s="255">
        <v>0.43</v>
      </c>
      <c r="H87" s="253" t="s">
        <v>278</v>
      </c>
      <c r="I87" s="256">
        <v>0.25</v>
      </c>
      <c r="J87" s="78"/>
      <c r="K87" s="78"/>
      <c r="L87" s="78"/>
      <c r="M87" s="78"/>
      <c r="N87" s="78"/>
    </row>
    <row r="88" spans="1:14" x14ac:dyDescent="0.25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5.75" thickBot="1" x14ac:dyDescent="0.3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25">
      <c r="A93" s="122" t="s">
        <v>208</v>
      </c>
    </row>
    <row r="94" spans="1:14" x14ac:dyDescent="0.25">
      <c r="A94" s="122" t="s">
        <v>209</v>
      </c>
    </row>
    <row r="95" spans="1:14" x14ac:dyDescent="0.25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>
    <pageSetUpPr fitToPage="1"/>
  </sheetPr>
  <dimension ref="A1:BJ357"/>
  <sheetViews>
    <sheetView topLeftCell="B39" zoomScale="90" zoomScaleNormal="90" workbookViewId="0">
      <selection activeCell="B1" sqref="A1:L56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2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7" thickBot="1" x14ac:dyDescent="0.45">
      <c r="A2" s="272" t="s">
        <v>271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4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.75" thickBot="1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5.75" thickBot="1" x14ac:dyDescent="0.3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25">
      <c r="A6" s="145" t="str">
        <f>IF('Données projet'!$B$9="","",'Données projet'!$B$9)</f>
        <v>Pin maritime</v>
      </c>
      <c r="B6" s="146">
        <f>'Données projet'!D9</f>
        <v>60.270855999999995</v>
      </c>
      <c r="C6" s="147">
        <f ca="1">IF(OR('Données projet'!B9="",'Données projet'!C9="",'Données projet'!C9=0%),0,Calculateur!S3)</f>
        <v>252.28378247570731</v>
      </c>
      <c r="D6" s="147">
        <f>IF(OR('Données projet'!B9="",'Données projet'!C9="",'Données projet'!C9=0%),0,Calculateur!T3)</f>
        <v>263.50418595307343</v>
      </c>
      <c r="E6" s="147">
        <f ca="1">MIN(C6,D6)</f>
        <v>252.28378247570731</v>
      </c>
      <c r="F6" s="147">
        <f ca="1">E6*B6</f>
        <v>15205.359524728678</v>
      </c>
      <c r="G6" s="147">
        <f ca="1">F6*(100%-'Données projet'!$C$24)*(100%-'Données projet'!$C$25)*(100%-'Données projet'!$C$26)*(100%-'Données projet'!$C$27)</f>
        <v>9305.6800291339514</v>
      </c>
      <c r="H6" s="148">
        <f>IF(OR('Données projet'!B9="",'Données projet'!C9="",'Données projet'!C9=0%),0,AVERAGE(Calculateur!$AC$3:$AC$33)*B6)</f>
        <v>428.65971498848302</v>
      </c>
      <c r="I6" s="149">
        <f>H6*(100%-'Données projet'!$C$24)*(100%-'Données projet'!$C$25)*(100%-'Données projet'!$C$26)*(100%-'Données projet'!$C$27)</f>
        <v>262.33974557295164</v>
      </c>
      <c r="J6" s="150">
        <f>IF(OR('Données projet'!B9="",'Données projet'!C9="",'Données projet'!C9=0%),0,SUM(Calculateur!$V$3:$V$33)*VLOOKUP('Données projet'!$B$9,Paramètres!$A$1:$I$89,9,0)*B6)</f>
        <v>5085.052120719999</v>
      </c>
      <c r="K6" s="151">
        <f>J6*(100%-'Données projet'!$C$24)*(100%-'Données projet'!$C$25)*(100%-'Données projet'!$C$26)*(100%-'Données projet'!$C$27)</f>
        <v>3112.0518978806399</v>
      </c>
      <c r="L6" s="152">
        <f ca="1">G6+I6+K6</f>
        <v>12680.071672587543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25">
      <c r="A7" s="153" t="str">
        <f>IF('Données projet'!$B$10="","",'Données projet'!$B$10)</f>
        <v>Chêne pédonculé</v>
      </c>
      <c r="B7" s="154">
        <f>'Données projet'!D10</f>
        <v>5.2409439999999998</v>
      </c>
      <c r="C7" s="147">
        <f ca="1">IF(OR('Données projet'!B10="",'Données projet'!C10="",'Données projet'!C10=0%),0,Calculateur!AN3)</f>
        <v>382.67703499770795</v>
      </c>
      <c r="D7" s="147">
        <f>IF(OR('Données projet'!B10="",'Données projet'!C10="",'Données projet'!C10=0%),0,Calculateur!AO3)</f>
        <v>237.98926636458219</v>
      </c>
      <c r="E7" s="147">
        <f t="shared" ref="E7:E15" ca="1" si="0">MIN(C7,D7)</f>
        <v>237.98926636458219</v>
      </c>
      <c r="F7" s="147">
        <f t="shared" ref="F7:F15" ca="1" si="1">E7*B7</f>
        <v>1247.2884176178588</v>
      </c>
      <c r="G7" s="147">
        <f ca="1">F7*(100%-'Données projet'!$C$24)*(100%-'Données projet'!$C$25)*(100%-'Données projet'!$C$26)*(100%-'Données projet'!$C$27)</f>
        <v>763.34051158212969</v>
      </c>
      <c r="H7" s="155">
        <f>IF(OR('Données projet'!B10="",'Données projet'!C10="",'Données projet'!C10=0%),0,AVERAGE(Calculateur!$AX$3:$AX$33)*B7)</f>
        <v>0</v>
      </c>
      <c r="I7" s="149">
        <f>H7*(100%-'Données projet'!$C$24)*(100%-'Données projet'!$C$25)*(100%-'Données projet'!$C$26)*(100%-'Données projet'!$C$27)</f>
        <v>0</v>
      </c>
      <c r="J7" s="150">
        <f>IF(OR('Données projet'!B10="",'Données projet'!C10="",'Données projet'!C10=0%),0,SUM(Calculateur!$AQ$3:$AQ$33)*VLOOKUP('Données projet'!$B$10,Paramètres!$A$1:$I$89,9,0)*B7)</f>
        <v>52.409439999999996</v>
      </c>
      <c r="K7" s="151">
        <f>J7*(100%-'Données projet'!$C$24)*(100%-'Données projet'!$C$25)*(100%-'Données projet'!$C$26)*(100%-'Données projet'!$C$27)</f>
        <v>32.07457728</v>
      </c>
      <c r="L7" s="152">
        <f t="shared" ref="L7:L15" ca="1" si="2">G7+I7+K7</f>
        <v>795.41508886212966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25">
      <c r="A8" s="153" t="str">
        <f>IF('Données projet'!$B$11="","",'Données projet'!$B$11)</f>
        <v/>
      </c>
      <c r="B8" s="154">
        <f>'Données projet'!D11</f>
        <v>0</v>
      </c>
      <c r="C8" s="147">
        <f>IF(OR('Données projet'!B11="",'Données projet'!C11="",'Données projet'!C11=0%),0,Calculateur!BI3)</f>
        <v>0</v>
      </c>
      <c r="D8" s="147">
        <f>IF(OR('Données projet'!B11="",'Données projet'!C11="",'Données projet'!C11=0%),0,Calculateur!BJ3)</f>
        <v>0</v>
      </c>
      <c r="E8" s="147">
        <f t="shared" si="0"/>
        <v>0</v>
      </c>
      <c r="F8" s="147">
        <f t="shared" si="1"/>
        <v>0</v>
      </c>
      <c r="G8" s="147">
        <f>F8*(100%-'Données projet'!$C$24)*(100%-'Données projet'!$C$25)*(100%-'Données projet'!$C$26)*(100%-'Données projet'!$C$27)</f>
        <v>0</v>
      </c>
      <c r="H8" s="155">
        <f>IF(OR('Données projet'!B11="",'Données projet'!C11="",'Données projet'!C11=0%),0,AVERAGE(Calculateur!$BS$3:$BS$33)*B8)</f>
        <v>0</v>
      </c>
      <c r="I8" s="149">
        <f>H8*(100%-'Données projet'!$C$24)*(100%-'Données projet'!$C$25)*(100%-'Données projet'!$C$26)*(100%-'Données projet'!$C$27)</f>
        <v>0</v>
      </c>
      <c r="J8" s="150">
        <f>IF(OR('Données projet'!B11="",'Données projet'!C11="",'Données projet'!C11=0%),0,SUM(Calculateur!$BL$3:$BL$33)*VLOOKUP('Données projet'!$B$11,Paramètres!$A$1:$I$89,9,0)*B8)</f>
        <v>0</v>
      </c>
      <c r="K8" s="151">
        <f>J8*(100%-'Données projet'!$C$24)*(100%-'Données projet'!$C$25)*(100%-'Données projet'!$C$26)*(100%-'Données projet'!$C$27)</f>
        <v>0</v>
      </c>
      <c r="L8" s="152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25">
      <c r="A9" s="153" t="str">
        <f>IF('Données projet'!$B$12="","",'Données projet'!$B$12)</f>
        <v/>
      </c>
      <c r="B9" s="154">
        <f>'Données projet'!D12</f>
        <v>0</v>
      </c>
      <c r="C9" s="147">
        <f>IF(OR('Données projet'!B12="",'Données projet'!C12="",'Données projet'!C12=0%),0,Calculateur!CD3)</f>
        <v>0</v>
      </c>
      <c r="D9" s="147">
        <f>IF(OR('Données projet'!B12="",'Données projet'!C12="",'Données projet'!C12=0%),0,Calculateur!CE3)</f>
        <v>0</v>
      </c>
      <c r="E9" s="147">
        <f t="shared" si="0"/>
        <v>0</v>
      </c>
      <c r="F9" s="147">
        <f t="shared" si="1"/>
        <v>0</v>
      </c>
      <c r="G9" s="147">
        <f>F9*(100%-'Données projet'!$C$24)*(100%-'Données projet'!$C$25)*(100%-'Données projet'!$C$26)*(100%-'Données projet'!$C$27)</f>
        <v>0</v>
      </c>
      <c r="H9" s="155">
        <f>IF(OR('Données projet'!B12="",'Données projet'!C12="",'Données projet'!C12=0%),0,AVERAGE(Calculateur!$CN$3:$CN$33)*B9)</f>
        <v>0</v>
      </c>
      <c r="I9" s="149">
        <f>H9*(100%-'Données projet'!$C$24)*(100%-'Données projet'!$C$25)*(100%-'Données projet'!$C$26)*(100%-'Données projet'!$C$27)</f>
        <v>0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projet'!$C$24)*(100%-'Données projet'!$C$25)*(100%-'Données projet'!$C$26)*(100%-'Données projet'!$C$27)</f>
        <v>0</v>
      </c>
      <c r="L9" s="152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25">
      <c r="A10" s="153" t="str">
        <f>IF('Données projet'!$B$13="","",'Données projet'!$B$13)</f>
        <v/>
      </c>
      <c r="B10" s="154">
        <f>'Données projet'!D13</f>
        <v>0</v>
      </c>
      <c r="C10" s="147">
        <f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si="0"/>
        <v>0</v>
      </c>
      <c r="F10" s="147">
        <f t="shared" si="1"/>
        <v>0</v>
      </c>
      <c r="G10" s="147">
        <f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25">
      <c r="A11" s="153" t="str">
        <f>IF('Données projet'!$B$14="","",'Données projet'!$B$14)</f>
        <v/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25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25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25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.75" thickBot="1" x14ac:dyDescent="0.3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.75" thickBot="1" x14ac:dyDescent="0.3">
      <c r="A16" s="209"/>
      <c r="B16" s="213"/>
      <c r="C16" s="214"/>
      <c r="D16" s="23"/>
      <c r="E16" s="23"/>
      <c r="F16" s="165">
        <f t="shared" ref="F16:L16" ca="1" si="3">SUM(F6:F15)</f>
        <v>16452.647942346535</v>
      </c>
      <c r="G16" s="166">
        <f t="shared" ca="1" si="3"/>
        <v>10069.020540716081</v>
      </c>
      <c r="H16" s="167">
        <f t="shared" si="3"/>
        <v>428.65971498848302</v>
      </c>
      <c r="I16" s="167">
        <f t="shared" si="3"/>
        <v>262.33974557295164</v>
      </c>
      <c r="J16" s="168">
        <f t="shared" si="3"/>
        <v>5137.4615607199994</v>
      </c>
      <c r="K16" s="168">
        <f t="shared" si="3"/>
        <v>3144.12647516064</v>
      </c>
      <c r="L16" s="169">
        <f t="shared" ca="1" si="3"/>
        <v>13475.486761449672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25">
      <c r="A17" s="209"/>
      <c r="B17" s="213"/>
      <c r="C17" s="214"/>
      <c r="D17" s="23"/>
      <c r="E17" s="23"/>
      <c r="F17" s="284" t="s">
        <v>246</v>
      </c>
      <c r="G17" s="285"/>
      <c r="H17" s="285"/>
      <c r="I17" s="285"/>
      <c r="J17" s="285"/>
      <c r="K17" s="285"/>
      <c r="L17" s="285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25">
      <c r="A18" s="209"/>
      <c r="B18" s="213"/>
      <c r="C18" s="214"/>
      <c r="D18" s="23"/>
      <c r="E18" s="23"/>
      <c r="F18" s="271"/>
      <c r="G18" s="271"/>
      <c r="H18" s="271"/>
      <c r="I18" s="271"/>
      <c r="J18" s="271"/>
      <c r="K18" s="271"/>
      <c r="L18" s="271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2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.75" thickBot="1" x14ac:dyDescent="0.3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.75" thickBot="1" x14ac:dyDescent="0.3">
      <c r="A21" s="170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2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2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2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2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2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2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2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2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2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2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2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2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2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2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2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2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.75" thickBot="1" x14ac:dyDescent="0.3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.75" thickBot="1" x14ac:dyDescent="0.3">
      <c r="A39" s="170" t="str">
        <f>A7</f>
        <v>Chêne pédonculé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2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2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2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2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2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2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2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2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2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2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2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2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2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2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2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2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.75" thickBot="1" x14ac:dyDescent="0.3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.75" thickBot="1" x14ac:dyDescent="0.3">
      <c r="A57" s="170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2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2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2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2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2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2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2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2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2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2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2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2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2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2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2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2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2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.75" thickBot="1" x14ac:dyDescent="0.3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.75" thickBot="1" x14ac:dyDescent="0.3">
      <c r="A76" s="170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2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2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2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2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2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2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2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2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2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2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2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2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2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2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2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2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.75" thickBot="1" x14ac:dyDescent="0.3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.75" thickBot="1" x14ac:dyDescent="0.3">
      <c r="A94" s="170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2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2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2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2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2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2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2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2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2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2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2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2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2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2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2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2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.75" thickBot="1" x14ac:dyDescent="0.3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.75" thickBot="1" x14ac:dyDescent="0.3">
      <c r="A112" s="170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2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2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2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2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2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2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2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2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2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2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2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2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2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2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2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2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.75" thickBot="1" x14ac:dyDescent="0.3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.75" thickBot="1" x14ac:dyDescent="0.3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2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2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2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2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2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2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2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2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2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2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2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2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2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2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2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2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.75" thickBot="1" x14ac:dyDescent="0.3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.75" thickBot="1" x14ac:dyDescent="0.3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2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2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2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2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2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2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2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2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2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2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2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2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2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2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2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2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.75" thickBot="1" x14ac:dyDescent="0.3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.75" thickBot="1" x14ac:dyDescent="0.3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2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2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2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2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2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2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2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2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2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2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2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2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2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2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2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2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.75" thickBot="1" x14ac:dyDescent="0.3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.75" thickBot="1" x14ac:dyDescent="0.3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2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2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2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2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2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2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2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2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2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2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2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2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2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2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2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2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2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2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2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scale="56" fitToHeight="0" orientation="portrait" r:id="rId1"/>
  <rowBreaks count="1" manualBreakCount="1">
    <brk id="75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zoomScale="80" zoomScaleNormal="80" workbookViewId="0">
      <selection activeCell="G26" sqref="G26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1" customWidth="1"/>
    <col min="7" max="7" width="17.5703125" style="1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7" thickBot="1" x14ac:dyDescent="0.45">
      <c r="A2" s="4"/>
      <c r="B2" s="272" t="s">
        <v>272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25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25">
      <c r="A4" s="4"/>
      <c r="B4" s="4"/>
      <c r="C4" s="4"/>
      <c r="D4" s="4"/>
      <c r="E4" s="4"/>
      <c r="G4" s="4"/>
      <c r="H4" s="258" t="s">
        <v>315</v>
      </c>
      <c r="I4" s="258"/>
      <c r="K4" s="300" t="s">
        <v>253</v>
      </c>
      <c r="L4" s="301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2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.75" thickBot="1" x14ac:dyDescent="0.3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45">
      <c r="A7" s="242"/>
      <c r="B7" s="243"/>
      <c r="C7" s="243"/>
      <c r="D7" s="243"/>
      <c r="E7" s="244"/>
      <c r="F7" s="244" t="s">
        <v>192</v>
      </c>
      <c r="G7" s="245"/>
      <c r="H7" s="243"/>
      <c r="I7" s="243"/>
      <c r="J7" s="246"/>
      <c r="K7" s="240"/>
      <c r="L7" s="241"/>
      <c r="M7" s="241"/>
      <c r="N7" s="247" t="s">
        <v>191</v>
      </c>
      <c r="O7" s="247"/>
      <c r="P7" s="248"/>
      <c r="Q7" s="249"/>
      <c r="R7" s="292" t="s">
        <v>310</v>
      </c>
      <c r="S7" s="293"/>
      <c r="T7" s="293"/>
      <c r="U7" s="293"/>
      <c r="V7" s="29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25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25">
      <c r="A9" s="93" t="s">
        <v>311</v>
      </c>
      <c r="C9" s="23"/>
      <c r="D9" s="23"/>
      <c r="E9" s="23"/>
      <c r="F9" s="230"/>
      <c r="G9" s="93" t="s">
        <v>314</v>
      </c>
      <c r="J9" s="200"/>
      <c r="K9" s="208"/>
      <c r="O9" s="23"/>
      <c r="P9" s="23"/>
      <c r="Q9" s="234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25">
      <c r="A10" s="93" t="s">
        <v>317</v>
      </c>
      <c r="C10" s="23"/>
      <c r="D10" s="23"/>
      <c r="E10" s="23"/>
      <c r="F10" s="230"/>
      <c r="G10" s="93" t="s">
        <v>316</v>
      </c>
      <c r="J10" s="200"/>
      <c r="K10" s="208"/>
      <c r="O10" s="23"/>
      <c r="P10" s="23"/>
      <c r="Q10" s="234"/>
      <c r="R10" s="23"/>
      <c r="S10" s="36" t="str">
        <f>B14</f>
        <v>Pin maritime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78">
        <f>'Données projet'!D9</f>
        <v>60.270855999999995</v>
      </c>
      <c r="V10" s="177">
        <f>U10*T10</f>
        <v>0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25">
      <c r="A11" s="93" t="s">
        <v>312</v>
      </c>
      <c r="B11" s="23"/>
      <c r="C11" s="23"/>
      <c r="D11" s="23"/>
      <c r="E11" s="23"/>
      <c r="F11" s="230"/>
      <c r="G11" s="93" t="s">
        <v>313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>Chêne pédonculé</v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8">
        <f>'Données projet'!D10</f>
        <v>5.2409439999999998</v>
      </c>
      <c r="V11" s="177">
        <f t="shared" ref="V11" si="0">U11*T11</f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25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/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8">
        <f>'Données projet'!D11</f>
        <v>0</v>
      </c>
      <c r="V12" s="177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25">
      <c r="B13" s="23"/>
      <c r="C13" s="23"/>
      <c r="D13" s="23"/>
      <c r="E13" s="23"/>
      <c r="F13" s="230"/>
      <c r="J13" s="23"/>
      <c r="K13" s="208"/>
      <c r="L13" s="93" t="s">
        <v>257</v>
      </c>
      <c r="M13" s="23"/>
      <c r="N13" s="23"/>
      <c r="O13" s="23"/>
      <c r="P13" s="23"/>
      <c r="Q13" s="234"/>
      <c r="R13" s="23"/>
      <c r="S13" s="36" t="str">
        <f>B107</f>
        <v/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8">
        <f>'Données projet'!D12</f>
        <v>0</v>
      </c>
      <c r="V13" s="177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25">
      <c r="A14" s="46" t="s">
        <v>165</v>
      </c>
      <c r="B14" s="174" t="str">
        <f>IF('Données projet'!$B$9="","",'Données projet'!$B$9)</f>
        <v>Pin maritime</v>
      </c>
      <c r="C14" s="4"/>
      <c r="D14" s="4"/>
      <c r="E14" s="4"/>
      <c r="F14" s="230"/>
      <c r="G14" s="23"/>
      <c r="H14" s="36" t="s">
        <v>178</v>
      </c>
      <c r="I14" s="36" t="s">
        <v>290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/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8">
        <f>'Données projet'!D13</f>
        <v>0</v>
      </c>
      <c r="V14" s="177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25">
      <c r="A15" s="4"/>
      <c r="B15" s="4"/>
      <c r="C15" s="4"/>
      <c r="D15" s="4"/>
      <c r="E15" s="4"/>
      <c r="F15" s="230"/>
      <c r="G15" s="303" t="s">
        <v>318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/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25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30"/>
      <c r="G16" s="303"/>
      <c r="H16" s="190"/>
      <c r="I16" s="191"/>
      <c r="J16" s="202"/>
      <c r="K16" s="208"/>
      <c r="L16" s="300" t="s">
        <v>254</v>
      </c>
      <c r="M16" s="301"/>
      <c r="N16" s="2"/>
      <c r="O16" s="23"/>
      <c r="P16" s="23"/>
      <c r="Q16" s="234"/>
      <c r="R16" s="23"/>
      <c r="S16" s="36" t="str">
        <f>B200</f>
        <v/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25">
      <c r="A17" s="49">
        <v>0</v>
      </c>
      <c r="B17" s="199" t="s">
        <v>132</v>
      </c>
      <c r="C17" s="198" t="s">
        <v>132</v>
      </c>
      <c r="D17" s="197" t="s">
        <v>132</v>
      </c>
      <c r="E17" s="193"/>
      <c r="F17" s="230"/>
      <c r="G17" s="303"/>
      <c r="J17" s="202"/>
      <c r="K17" s="208"/>
      <c r="L17" s="260" t="s">
        <v>289</v>
      </c>
      <c r="M17" s="262"/>
      <c r="N17" s="175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4"/>
      <c r="R17" s="23"/>
      <c r="S17" s="36" t="str">
        <f>B231</f>
        <v/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25">
      <c r="A18" s="49">
        <v>1</v>
      </c>
      <c r="B18" s="199" t="s">
        <v>132</v>
      </c>
      <c r="C18" s="198" t="s">
        <v>132</v>
      </c>
      <c r="D18" s="197" t="s">
        <v>132</v>
      </c>
      <c r="E18" s="193"/>
      <c r="F18" s="230"/>
      <c r="G18" s="303"/>
      <c r="J18" s="202"/>
      <c r="K18" s="208"/>
      <c r="L18" s="260" t="s">
        <v>255</v>
      </c>
      <c r="M18" s="262"/>
      <c r="N18" s="192"/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25">
      <c r="A19" s="49">
        <v>2</v>
      </c>
      <c r="B19" s="199" t="s">
        <v>132</v>
      </c>
      <c r="C19" s="198" t="s">
        <v>132</v>
      </c>
      <c r="D19" s="197" t="s">
        <v>132</v>
      </c>
      <c r="E19" s="193"/>
      <c r="F19" s="230"/>
      <c r="G19" s="303"/>
      <c r="H19" s="212" t="s">
        <v>178</v>
      </c>
      <c r="I19" s="212" t="s">
        <v>287</v>
      </c>
      <c r="J19" s="93"/>
      <c r="K19" s="173"/>
      <c r="L19" s="300" t="s">
        <v>288</v>
      </c>
      <c r="M19" s="301"/>
      <c r="N19" s="179">
        <f>N17*N18</f>
        <v>0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25">
      <c r="A20" s="49">
        <v>3</v>
      </c>
      <c r="B20" s="199" t="s">
        <v>132</v>
      </c>
      <c r="C20" s="198" t="s">
        <v>132</v>
      </c>
      <c r="D20" s="197" t="s">
        <v>132</v>
      </c>
      <c r="E20" s="193"/>
      <c r="F20" s="230"/>
      <c r="G20" s="303"/>
      <c r="H20" s="190"/>
      <c r="I20" s="191"/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25">
      <c r="A21" s="49">
        <v>4</v>
      </c>
      <c r="B21" s="199" t="s">
        <v>132</v>
      </c>
      <c r="C21" s="198" t="s">
        <v>132</v>
      </c>
      <c r="D21" s="197" t="s">
        <v>132</v>
      </c>
      <c r="E21" s="193"/>
      <c r="F21" s="230"/>
      <c r="H21" s="190"/>
      <c r="I21" s="191"/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25">
      <c r="A22" s="49">
        <v>5</v>
      </c>
      <c r="B22" s="199" t="s">
        <v>132</v>
      </c>
      <c r="C22" s="198" t="s">
        <v>132</v>
      </c>
      <c r="D22" s="197" t="s">
        <v>132</v>
      </c>
      <c r="E22" s="193"/>
      <c r="F22" s="230"/>
      <c r="H22" s="190"/>
      <c r="I22" s="191"/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25">
      <c r="A23" s="180">
        <f>'Données projet'!A36</f>
        <v>12</v>
      </c>
      <c r="B23" s="181">
        <f>'Données projet'!D36</f>
        <v>0</v>
      </c>
      <c r="C23" s="193"/>
      <c r="D23" s="182">
        <f>B23*C23</f>
        <v>0</v>
      </c>
      <c r="E23" s="193"/>
      <c r="F23" s="230"/>
      <c r="H23" s="190"/>
      <c r="I23" s="191"/>
      <c r="K23" s="208"/>
      <c r="L23" s="302" t="s">
        <v>260</v>
      </c>
      <c r="M23" s="302"/>
      <c r="N23" s="302"/>
      <c r="O23" s="23"/>
      <c r="P23" s="23"/>
      <c r="Q23" s="234"/>
      <c r="R23" s="23"/>
      <c r="S23" s="36" t="s">
        <v>264</v>
      </c>
      <c r="T23" s="297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297"/>
      <c r="V23" s="297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25">
      <c r="A24" s="180">
        <f>'Données projet'!A37</f>
        <v>16</v>
      </c>
      <c r="B24" s="181">
        <f>'Données projet'!D37</f>
        <v>25</v>
      </c>
      <c r="C24" s="193"/>
      <c r="D24" s="182">
        <f t="shared" ref="D24:D42" si="2">B24*C24</f>
        <v>0</v>
      </c>
      <c r="E24" s="193"/>
      <c r="F24" s="233"/>
      <c r="H24" s="190"/>
      <c r="I24" s="191"/>
      <c r="K24" s="208"/>
      <c r="O24" s="23"/>
      <c r="P24" s="23"/>
      <c r="Q24" s="234"/>
      <c r="R24" s="23"/>
      <c r="S24" s="36" t="s">
        <v>261</v>
      </c>
      <c r="T24" s="298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298"/>
      <c r="V24" s="298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25">
      <c r="A25" s="180">
        <f>'Données projet'!A38</f>
        <v>20</v>
      </c>
      <c r="B25" s="181">
        <f>'Données projet'!D38</f>
        <v>33.700000000000003</v>
      </c>
      <c r="C25" s="193"/>
      <c r="D25" s="182">
        <f t="shared" si="2"/>
        <v>0</v>
      </c>
      <c r="E25" s="193"/>
      <c r="F25" s="233"/>
      <c r="H25" s="190"/>
      <c r="I25" s="191"/>
      <c r="K25" s="208"/>
      <c r="L25" s="130" t="s">
        <v>285</v>
      </c>
      <c r="M25" s="130"/>
      <c r="N25" s="130"/>
      <c r="O25" s="130"/>
      <c r="P25" s="192"/>
      <c r="Q25" s="234"/>
      <c r="R25" s="23"/>
      <c r="S25" s="186" t="s">
        <v>266</v>
      </c>
      <c r="T25" s="299">
        <f ca="1">T23-T24</f>
        <v>0</v>
      </c>
      <c r="U25" s="299"/>
      <c r="V25" s="299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25">
      <c r="A26" s="180">
        <f>'Données projet'!A39</f>
        <v>24</v>
      </c>
      <c r="B26" s="181">
        <f>'Données projet'!D39</f>
        <v>42.9</v>
      </c>
      <c r="C26" s="193"/>
      <c r="D26" s="182">
        <f t="shared" si="2"/>
        <v>0</v>
      </c>
      <c r="E26" s="193"/>
      <c r="F26" s="233"/>
      <c r="G26" s="229"/>
      <c r="H26" s="190"/>
      <c r="I26" s="191"/>
      <c r="K26" s="208"/>
      <c r="L26" s="286" t="s">
        <v>258</v>
      </c>
      <c r="M26" s="287"/>
      <c r="N26" s="287"/>
      <c r="O26" s="287"/>
      <c r="P26" s="288"/>
      <c r="Q26" s="234"/>
      <c r="R26" s="23"/>
      <c r="S26" s="186" t="s">
        <v>265</v>
      </c>
      <c r="T26" s="296" t="str">
        <f ca="1">IF(T25&lt;0,"Votre projet est additionnel","Votre projet n'est pas additionnel")</f>
        <v>Votre projet n'est pas additionnel</v>
      </c>
      <c r="U26" s="296"/>
      <c r="V26" s="296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25">
      <c r="A27" s="180">
        <f>'Données projet'!A40</f>
        <v>28</v>
      </c>
      <c r="B27" s="181">
        <f>'Données projet'!D40</f>
        <v>41.4</v>
      </c>
      <c r="C27" s="193"/>
      <c r="D27" s="182">
        <f t="shared" si="2"/>
        <v>0</v>
      </c>
      <c r="E27" s="193"/>
      <c r="F27" s="233"/>
      <c r="G27" s="229"/>
      <c r="H27" s="190"/>
      <c r="I27" s="191"/>
      <c r="K27" s="208"/>
      <c r="L27" s="289"/>
      <c r="M27" s="290"/>
      <c r="N27" s="290"/>
      <c r="O27" s="290"/>
      <c r="P27" s="291"/>
      <c r="Q27" s="234"/>
      <c r="R27" s="23"/>
      <c r="S27" s="295" t="s">
        <v>267</v>
      </c>
      <c r="T27" s="295"/>
      <c r="U27" s="295"/>
      <c r="V27" s="295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25">
      <c r="A28" s="180">
        <f>'Données projet'!A41</f>
        <v>34</v>
      </c>
      <c r="B28" s="181">
        <f>'Données projet'!D41</f>
        <v>59.9</v>
      </c>
      <c r="C28" s="193"/>
      <c r="D28" s="182">
        <f t="shared" si="2"/>
        <v>0</v>
      </c>
      <c r="E28" s="193"/>
      <c r="F28" s="233"/>
      <c r="G28" s="205"/>
      <c r="H28" s="190"/>
      <c r="I28" s="191"/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25">
      <c r="A29" s="180">
        <f>'Données projet'!A42</f>
        <v>40</v>
      </c>
      <c r="B29" s="181">
        <f>'Données projet'!D42</f>
        <v>34.1</v>
      </c>
      <c r="C29" s="193"/>
      <c r="D29" s="182">
        <f t="shared" si="2"/>
        <v>0</v>
      </c>
      <c r="E29" s="193"/>
      <c r="F29" s="233"/>
      <c r="G29" s="203"/>
      <c r="H29" s="190"/>
      <c r="I29" s="191"/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25">
      <c r="A30" s="180">
        <f>'Données projet'!A43</f>
        <v>46</v>
      </c>
      <c r="B30" s="181">
        <f>'Données projet'!D43</f>
        <v>21.3</v>
      </c>
      <c r="C30" s="193"/>
      <c r="D30" s="182">
        <f t="shared" si="2"/>
        <v>0</v>
      </c>
      <c r="E30" s="193"/>
      <c r="F30" s="233"/>
      <c r="G30" s="203"/>
      <c r="H30" s="190"/>
      <c r="I30" s="191"/>
      <c r="K30" s="183"/>
      <c r="L30" s="36" t="s">
        <v>259</v>
      </c>
      <c r="M30" s="184">
        <f ca="1">SUM(OFFSET($P$33,0,0,MIN('Données projet'!$E$9:$E$18)+1,1))</f>
        <v>0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25">
      <c r="A31" s="180">
        <f>'Données projet'!A44</f>
        <v>54</v>
      </c>
      <c r="B31" s="181">
        <f>'Données projet'!D44</f>
        <v>17.399999999999999</v>
      </c>
      <c r="C31" s="193"/>
      <c r="D31" s="182">
        <f t="shared" si="2"/>
        <v>0</v>
      </c>
      <c r="E31" s="193"/>
      <c r="F31" s="233"/>
      <c r="G31" s="203"/>
      <c r="H31" s="190"/>
      <c r="I31" s="191"/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25">
      <c r="A32" s="180">
        <f>'Données projet'!A45</f>
        <v>62</v>
      </c>
      <c r="B32" s="181">
        <f>'Données projet'!D45</f>
        <v>410.00000000000006</v>
      </c>
      <c r="C32" s="193"/>
      <c r="D32" s="182">
        <f t="shared" si="2"/>
        <v>0</v>
      </c>
      <c r="E32" s="193"/>
      <c r="F32" s="233"/>
      <c r="G32" s="203"/>
      <c r="H32" s="190"/>
      <c r="I32" s="191"/>
      <c r="K32" s="173"/>
      <c r="N32" s="4"/>
      <c r="O32" s="85" t="s">
        <v>178</v>
      </c>
      <c r="P32" s="85" t="s">
        <v>252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25">
      <c r="A33" s="180">
        <f>'Données projet'!A46</f>
        <v>0</v>
      </c>
      <c r="B33" s="181">
        <f>'Données projet'!D46</f>
        <v>0</v>
      </c>
      <c r="C33" s="193"/>
      <c r="D33" s="182">
        <f t="shared" si="2"/>
        <v>0</v>
      </c>
      <c r="E33" s="193"/>
      <c r="F33" s="233"/>
      <c r="G33" s="203"/>
      <c r="H33" s="190"/>
      <c r="I33" s="191"/>
      <c r="K33" s="173"/>
      <c r="L33" s="4"/>
      <c r="M33" s="4"/>
      <c r="N33" s="4"/>
      <c r="O33" s="194">
        <v>0</v>
      </c>
      <c r="P33" s="185">
        <f t="shared" ref="P33:P64" si="3">$P$25/(1+$M$4)^O33</f>
        <v>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25">
      <c r="A34" s="180">
        <f>'Données projet'!A47</f>
        <v>0</v>
      </c>
      <c r="B34" s="181">
        <f>'Données projet'!D47</f>
        <v>0</v>
      </c>
      <c r="C34" s="193"/>
      <c r="D34" s="182">
        <f t="shared" si="2"/>
        <v>0</v>
      </c>
      <c r="E34" s="193"/>
      <c r="F34" s="233"/>
      <c r="G34" s="203"/>
      <c r="H34" s="190"/>
      <c r="I34" s="191"/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3"/>
        <v>0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25">
      <c r="A35" s="180">
        <f>'Données projet'!A48</f>
        <v>0</v>
      </c>
      <c r="B35" s="181">
        <f>'Données projet'!D48</f>
        <v>0</v>
      </c>
      <c r="C35" s="193"/>
      <c r="D35" s="182">
        <f t="shared" si="2"/>
        <v>0</v>
      </c>
      <c r="E35" s="193"/>
      <c r="F35" s="233"/>
      <c r="G35" s="203"/>
      <c r="H35" s="190"/>
      <c r="I35" s="191"/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3"/>
        <v>0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25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3"/>
      <c r="G36" s="203"/>
      <c r="H36" s="190"/>
      <c r="I36" s="191"/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0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25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3"/>
      <c r="G37" s="203"/>
      <c r="H37" s="190"/>
      <c r="I37" s="191"/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0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25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3"/>
      <c r="G38" s="203"/>
      <c r="H38" s="190"/>
      <c r="I38" s="191"/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0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25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3"/>
      <c r="G39" s="203"/>
      <c r="H39" s="190"/>
      <c r="I39" s="191"/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0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25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/>
      <c r="I40" s="191"/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0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25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3"/>
      <c r="G41" s="203"/>
      <c r="H41" s="190"/>
      <c r="I41" s="191"/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0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25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/>
      <c r="I42" s="191"/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0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25">
      <c r="A43" s="187"/>
      <c r="B43" s="187"/>
      <c r="C43" s="187"/>
      <c r="D43" s="227"/>
      <c r="E43" s="227"/>
      <c r="F43" s="238"/>
      <c r="G43" s="203"/>
      <c r="H43" s="190"/>
      <c r="I43" s="191"/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0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25">
      <c r="A44" s="4"/>
      <c r="B44" s="4"/>
      <c r="C44" s="4"/>
      <c r="D44" s="4"/>
      <c r="E44" s="4"/>
      <c r="F44" s="230"/>
      <c r="G44" s="203"/>
      <c r="H44" s="190"/>
      <c r="I44" s="191"/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0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25">
      <c r="A45" s="46" t="s">
        <v>166</v>
      </c>
      <c r="B45" s="174" t="str">
        <f>IF('Données projet'!$B$10="","",'Données projet'!$B$10)</f>
        <v>Chêne pédonculé</v>
      </c>
      <c r="C45" s="4"/>
      <c r="D45" s="4"/>
      <c r="E45" s="4"/>
      <c r="F45" s="230"/>
      <c r="G45" s="203"/>
      <c r="H45" s="190"/>
      <c r="I45" s="191"/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0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25">
      <c r="A46" s="4"/>
      <c r="B46" s="4"/>
      <c r="C46" s="4"/>
      <c r="D46" s="4"/>
      <c r="E46" s="4"/>
      <c r="F46" s="230"/>
      <c r="G46" s="203"/>
      <c r="H46" s="190"/>
      <c r="I46" s="191"/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3"/>
        <v>0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25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1"/>
      <c r="G47" s="203"/>
      <c r="H47" s="190"/>
      <c r="I47" s="191"/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3"/>
        <v>0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25">
      <c r="A48" s="49">
        <v>0</v>
      </c>
      <c r="B48" s="199" t="s">
        <v>132</v>
      </c>
      <c r="C48" s="198" t="s">
        <v>132</v>
      </c>
      <c r="D48" s="197" t="s">
        <v>132</v>
      </c>
      <c r="E48" s="193"/>
      <c r="F48" s="231"/>
      <c r="G48" s="203"/>
      <c r="H48" s="190"/>
      <c r="I48" s="191"/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3"/>
        <v>0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25">
      <c r="A49" s="49">
        <v>1</v>
      </c>
      <c r="B49" s="199" t="s">
        <v>132</v>
      </c>
      <c r="C49" s="198" t="s">
        <v>132</v>
      </c>
      <c r="D49" s="197" t="s">
        <v>132</v>
      </c>
      <c r="E49" s="193"/>
      <c r="F49" s="231"/>
      <c r="G49" s="204"/>
      <c r="H49" s="190"/>
      <c r="I49" s="191"/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3"/>
        <v>0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25">
      <c r="A50" s="49">
        <v>2</v>
      </c>
      <c r="B50" s="199" t="s">
        <v>132</v>
      </c>
      <c r="C50" s="198" t="s">
        <v>132</v>
      </c>
      <c r="D50" s="197" t="s">
        <v>132</v>
      </c>
      <c r="E50" s="193"/>
      <c r="F50" s="231"/>
      <c r="G50" s="23"/>
      <c r="H50" s="190"/>
      <c r="I50" s="191"/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0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25">
      <c r="A51" s="49">
        <v>3</v>
      </c>
      <c r="B51" s="199" t="s">
        <v>132</v>
      </c>
      <c r="C51" s="198" t="s">
        <v>132</v>
      </c>
      <c r="D51" s="197" t="s">
        <v>132</v>
      </c>
      <c r="E51" s="193"/>
      <c r="F51" s="231"/>
      <c r="G51" s="23"/>
      <c r="H51" s="190"/>
      <c r="I51" s="191"/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0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25">
      <c r="A52" s="49">
        <v>4</v>
      </c>
      <c r="B52" s="199" t="s">
        <v>132</v>
      </c>
      <c r="C52" s="198" t="s">
        <v>132</v>
      </c>
      <c r="D52" s="197" t="s">
        <v>132</v>
      </c>
      <c r="E52" s="193"/>
      <c r="F52" s="231"/>
      <c r="G52" s="23"/>
      <c r="H52" s="190"/>
      <c r="I52" s="191"/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0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25">
      <c r="A53" s="49">
        <v>5</v>
      </c>
      <c r="B53" s="199" t="s">
        <v>132</v>
      </c>
      <c r="C53" s="198" t="s">
        <v>132</v>
      </c>
      <c r="D53" s="197" t="s">
        <v>132</v>
      </c>
      <c r="E53" s="193"/>
      <c r="F53" s="231"/>
      <c r="G53" s="205"/>
      <c r="H53" s="190"/>
      <c r="I53" s="191"/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0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25">
      <c r="A54" s="180">
        <f>'Données projet'!A62</f>
        <v>20</v>
      </c>
      <c r="B54" s="181">
        <f>'Données projet'!D62</f>
        <v>6</v>
      </c>
      <c r="C54" s="191"/>
      <c r="D54" s="179">
        <f>B54*C54</f>
        <v>0</v>
      </c>
      <c r="E54" s="193"/>
      <c r="F54" s="232"/>
      <c r="G54" s="205"/>
      <c r="H54" s="190"/>
      <c r="I54" s="191"/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3"/>
        <v>0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25">
      <c r="A55" s="180">
        <f>'Données projet'!A63</f>
        <v>30</v>
      </c>
      <c r="B55" s="181">
        <f>'Données projet'!D63</f>
        <v>34</v>
      </c>
      <c r="C55" s="191"/>
      <c r="D55" s="179">
        <f t="shared" ref="D55:D73" si="4">B55*C55</f>
        <v>0</v>
      </c>
      <c r="E55" s="193"/>
      <c r="F55" s="232"/>
      <c r="G55" s="205"/>
      <c r="H55" s="190"/>
      <c r="I55" s="191"/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3"/>
        <v>0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25">
      <c r="A56" s="180">
        <f>'Données projet'!A64</f>
        <v>40</v>
      </c>
      <c r="B56" s="181">
        <f>'Données projet'!D64</f>
        <v>56</v>
      </c>
      <c r="C56" s="191"/>
      <c r="D56" s="179">
        <f t="shared" si="4"/>
        <v>0</v>
      </c>
      <c r="E56" s="193"/>
      <c r="F56" s="232"/>
      <c r="G56" s="205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3"/>
        <v>0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25">
      <c r="A57" s="180">
        <f>'Données projet'!A65</f>
        <v>50</v>
      </c>
      <c r="B57" s="181">
        <f>'Données projet'!D65</f>
        <v>56</v>
      </c>
      <c r="C57" s="191"/>
      <c r="D57" s="179">
        <f t="shared" si="4"/>
        <v>0</v>
      </c>
      <c r="E57" s="193"/>
      <c r="F57" s="232"/>
      <c r="G57" s="205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3"/>
        <v>0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25">
      <c r="A58" s="180">
        <f>'Données projet'!A66</f>
        <v>60</v>
      </c>
      <c r="B58" s="181">
        <f>'Données projet'!D66</f>
        <v>56</v>
      </c>
      <c r="C58" s="191"/>
      <c r="D58" s="179">
        <f t="shared" si="4"/>
        <v>0</v>
      </c>
      <c r="E58" s="193"/>
      <c r="F58" s="232"/>
      <c r="G58" s="205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3"/>
        <v>0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25">
      <c r="A59" s="180">
        <f>'Données projet'!A67</f>
        <v>70</v>
      </c>
      <c r="B59" s="181">
        <f>'Données projet'!D67</f>
        <v>56</v>
      </c>
      <c r="C59" s="191"/>
      <c r="D59" s="179">
        <f t="shared" si="4"/>
        <v>0</v>
      </c>
      <c r="E59" s="193"/>
      <c r="F59" s="232"/>
      <c r="G59" s="205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3"/>
        <v>0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25">
      <c r="A60" s="180">
        <f>'Données projet'!A68</f>
        <v>80</v>
      </c>
      <c r="B60" s="181">
        <f>'Données projet'!D68</f>
        <v>56</v>
      </c>
      <c r="C60" s="191"/>
      <c r="D60" s="179">
        <f t="shared" si="4"/>
        <v>0</v>
      </c>
      <c r="E60" s="193"/>
      <c r="F60" s="232"/>
      <c r="G60" s="206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3"/>
        <v>0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25">
      <c r="A61" s="180">
        <f>'Données projet'!A69</f>
        <v>90</v>
      </c>
      <c r="B61" s="181">
        <f>'Données projet'!D69</f>
        <v>56</v>
      </c>
      <c r="C61" s="191"/>
      <c r="D61" s="179">
        <f t="shared" si="4"/>
        <v>0</v>
      </c>
      <c r="E61" s="193"/>
      <c r="F61" s="232"/>
      <c r="G61" s="206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3"/>
        <v>0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25">
      <c r="A62" s="180">
        <f>'Données projet'!A70</f>
        <v>100</v>
      </c>
      <c r="B62" s="181">
        <f>'Données projet'!D70</f>
        <v>55</v>
      </c>
      <c r="C62" s="191"/>
      <c r="D62" s="179">
        <f t="shared" si="4"/>
        <v>0</v>
      </c>
      <c r="E62" s="193"/>
      <c r="F62" s="232"/>
      <c r="G62" s="206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3"/>
        <v>0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25">
      <c r="A63" s="180">
        <f>'Données projet'!A71</f>
        <v>110</v>
      </c>
      <c r="B63" s="181">
        <f>'Données projet'!D71</f>
        <v>51</v>
      </c>
      <c r="C63" s="191"/>
      <c r="D63" s="179">
        <f t="shared" si="4"/>
        <v>0</v>
      </c>
      <c r="E63" s="193"/>
      <c r="F63" s="232"/>
      <c r="G63" s="206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3"/>
        <v>0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25">
      <c r="A64" s="180">
        <f>'Données projet'!A72</f>
        <v>120</v>
      </c>
      <c r="B64" s="181">
        <f>'Données projet'!D72</f>
        <v>47</v>
      </c>
      <c r="C64" s="191"/>
      <c r="D64" s="179">
        <f t="shared" si="4"/>
        <v>0</v>
      </c>
      <c r="E64" s="193"/>
      <c r="F64" s="232"/>
      <c r="G64" s="206"/>
      <c r="H64" s="190"/>
      <c r="I64" s="191"/>
      <c r="J64" s="207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3"/>
        <v>0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25">
      <c r="A65" s="180">
        <f>'Données projet'!A73</f>
        <v>130</v>
      </c>
      <c r="B65" s="181">
        <f>'Données projet'!D73</f>
        <v>44</v>
      </c>
      <c r="C65" s="191"/>
      <c r="D65" s="179">
        <f t="shared" si="4"/>
        <v>0</v>
      </c>
      <c r="E65" s="193"/>
      <c r="F65" s="232"/>
      <c r="G65" s="206"/>
      <c r="H65" s="190"/>
      <c r="I65" s="191"/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5">$P$25/(1+$M$4)^O65</f>
        <v>0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25">
      <c r="A66" s="180">
        <f>'Données projet'!A74</f>
        <v>140</v>
      </c>
      <c r="B66" s="181">
        <f>'Données projet'!D74</f>
        <v>41</v>
      </c>
      <c r="C66" s="191"/>
      <c r="D66" s="179">
        <f t="shared" si="4"/>
        <v>0</v>
      </c>
      <c r="E66" s="193"/>
      <c r="F66" s="232"/>
      <c r="G66" s="206"/>
      <c r="H66" s="190"/>
      <c r="I66" s="191"/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5"/>
        <v>0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25">
      <c r="A67" s="180">
        <f>'Données projet'!A75</f>
        <v>150</v>
      </c>
      <c r="B67" s="181">
        <f>'Données projet'!D75</f>
        <v>355</v>
      </c>
      <c r="C67" s="191"/>
      <c r="D67" s="179">
        <f t="shared" si="4"/>
        <v>0</v>
      </c>
      <c r="E67" s="193"/>
      <c r="F67" s="232"/>
      <c r="G67" s="206"/>
      <c r="H67" s="190"/>
      <c r="I67" s="191"/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5"/>
        <v>0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25">
      <c r="A68" s="180">
        <f>'Données projet'!A76</f>
        <v>0</v>
      </c>
      <c r="B68" s="181">
        <f>'Données projet'!D76</f>
        <v>0</v>
      </c>
      <c r="C68" s="191"/>
      <c r="D68" s="179">
        <f t="shared" si="4"/>
        <v>0</v>
      </c>
      <c r="E68" s="193"/>
      <c r="F68" s="232"/>
      <c r="G68" s="206"/>
      <c r="H68" s="190"/>
      <c r="I68" s="191"/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5"/>
        <v>0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25">
      <c r="A69" s="180">
        <f>'Données projet'!A77</f>
        <v>0</v>
      </c>
      <c r="B69" s="181">
        <f>'Données projet'!D77</f>
        <v>0</v>
      </c>
      <c r="C69" s="191"/>
      <c r="D69" s="179">
        <f t="shared" si="4"/>
        <v>0</v>
      </c>
      <c r="E69" s="193"/>
      <c r="F69" s="232"/>
      <c r="G69" s="206"/>
      <c r="H69" s="190"/>
      <c r="I69" s="191"/>
      <c r="J69" s="189"/>
      <c r="K69" s="173"/>
      <c r="L69" s="4"/>
      <c r="M69" s="4"/>
      <c r="N69" s="4"/>
      <c r="O69" s="194">
        <f>IF(O68+1&lt;=MIN('Données projet'!$E$9:$E$18),O68+1,"STOP")</f>
        <v>36</v>
      </c>
      <c r="P69" s="185">
        <f t="shared" si="5"/>
        <v>0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25">
      <c r="A70" s="180">
        <f>'Données projet'!A78</f>
        <v>0</v>
      </c>
      <c r="B70" s="181">
        <f>'Données projet'!D78</f>
        <v>0</v>
      </c>
      <c r="C70" s="191"/>
      <c r="D70" s="179">
        <f t="shared" si="4"/>
        <v>0</v>
      </c>
      <c r="E70" s="193"/>
      <c r="F70" s="232"/>
      <c r="G70" s="206"/>
      <c r="H70" s="190"/>
      <c r="I70" s="191"/>
      <c r="J70" s="189"/>
      <c r="K70" s="173"/>
      <c r="L70" s="4"/>
      <c r="M70" s="4"/>
      <c r="N70" s="4"/>
      <c r="O70" s="194">
        <f>IF(O69+1&lt;=MIN('Données projet'!$E$9:$E$18),O69+1,"STOP")</f>
        <v>37</v>
      </c>
      <c r="P70" s="185">
        <f t="shared" si="5"/>
        <v>0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25">
      <c r="A71" s="180">
        <f>'Données projet'!A79</f>
        <v>0</v>
      </c>
      <c r="B71" s="181">
        <f>'Données projet'!D79</f>
        <v>0</v>
      </c>
      <c r="C71" s="191"/>
      <c r="D71" s="179">
        <f t="shared" si="4"/>
        <v>0</v>
      </c>
      <c r="E71" s="193"/>
      <c r="F71" s="232"/>
      <c r="G71" s="206"/>
      <c r="H71" s="190"/>
      <c r="I71" s="191"/>
      <c r="J71" s="189"/>
      <c r="K71" s="173"/>
      <c r="L71" s="4"/>
      <c r="M71" s="4"/>
      <c r="N71" s="4"/>
      <c r="O71" s="194">
        <f>IF(O70+1&lt;=MIN('Données projet'!$E$9:$E$18),O70+1,"STOP")</f>
        <v>38</v>
      </c>
      <c r="P71" s="185">
        <f t="shared" si="5"/>
        <v>0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25">
      <c r="A72" s="180">
        <f>'Données projet'!A80</f>
        <v>0</v>
      </c>
      <c r="B72" s="181">
        <f>'Données projet'!D80</f>
        <v>0</v>
      </c>
      <c r="C72" s="191"/>
      <c r="D72" s="179">
        <f t="shared" si="4"/>
        <v>0</v>
      </c>
      <c r="E72" s="193"/>
      <c r="F72" s="232"/>
      <c r="G72" s="206"/>
      <c r="H72" s="190"/>
      <c r="I72" s="191"/>
      <c r="J72" s="4"/>
      <c r="K72" s="173"/>
      <c r="L72" s="4"/>
      <c r="M72" s="4"/>
      <c r="N72" s="4"/>
      <c r="O72" s="194">
        <f>IF(O71+1&lt;=MIN('Données projet'!$E$9:$E$18),O71+1,"STOP")</f>
        <v>39</v>
      </c>
      <c r="P72" s="185">
        <f t="shared" si="5"/>
        <v>0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25">
      <c r="A73" s="180">
        <f>'Données projet'!A81</f>
        <v>0</v>
      </c>
      <c r="B73" s="181">
        <f>'Données projet'!D81</f>
        <v>0</v>
      </c>
      <c r="C73" s="191"/>
      <c r="D73" s="179">
        <f t="shared" si="4"/>
        <v>0</v>
      </c>
      <c r="E73" s="193"/>
      <c r="F73" s="232"/>
      <c r="G73" s="206"/>
      <c r="H73" s="190"/>
      <c r="I73" s="191"/>
      <c r="J73" s="4"/>
      <c r="K73" s="173"/>
      <c r="L73" s="4"/>
      <c r="M73" s="4"/>
      <c r="N73" s="4"/>
      <c r="O73" s="194">
        <f>IF(O72+1&lt;=MIN('Données projet'!$E$9:$E$18),O72+1,"STOP")</f>
        <v>40</v>
      </c>
      <c r="P73" s="185">
        <f t="shared" si="5"/>
        <v>0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25">
      <c r="A74" s="4"/>
      <c r="B74" s="4"/>
      <c r="C74" s="4"/>
      <c r="D74" s="4"/>
      <c r="E74" s="4"/>
      <c r="F74" s="230"/>
      <c r="G74" s="206"/>
      <c r="H74" s="190"/>
      <c r="I74" s="191"/>
      <c r="J74" s="4"/>
      <c r="K74" s="173"/>
      <c r="L74" s="4"/>
      <c r="M74" s="4"/>
      <c r="N74" s="4"/>
      <c r="O74" s="194">
        <f>IF(O73+1&lt;=MIN('Données projet'!$E$9:$E$18),O73+1,"STOP")</f>
        <v>41</v>
      </c>
      <c r="P74" s="185">
        <f t="shared" si="5"/>
        <v>0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25">
      <c r="A75" s="4"/>
      <c r="B75" s="4"/>
      <c r="C75" s="4"/>
      <c r="D75" s="4"/>
      <c r="E75" s="4"/>
      <c r="F75" s="230"/>
      <c r="G75" s="206"/>
      <c r="H75" s="190"/>
      <c r="I75" s="191"/>
      <c r="J75" s="4"/>
      <c r="K75" s="173"/>
      <c r="L75" s="4"/>
      <c r="M75" s="4"/>
      <c r="N75" s="4"/>
      <c r="O75" s="194">
        <f>IF(O74+1&lt;=MIN('Données projet'!$E$9:$E$18),O74+1,"STOP")</f>
        <v>42</v>
      </c>
      <c r="P75" s="185">
        <f t="shared" si="5"/>
        <v>0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25">
      <c r="A76" s="46" t="s">
        <v>167</v>
      </c>
      <c r="B76" s="174" t="str">
        <f>IF('Données projet'!B11="","",'Données projet'!B11)</f>
        <v/>
      </c>
      <c r="C76" s="4"/>
      <c r="D76" s="4"/>
      <c r="E76" s="4"/>
      <c r="F76" s="230"/>
      <c r="G76" s="206"/>
      <c r="H76" s="190"/>
      <c r="I76" s="191"/>
      <c r="J76" s="4"/>
      <c r="K76" s="173"/>
      <c r="L76" s="4"/>
      <c r="M76" s="4"/>
      <c r="N76" s="4"/>
      <c r="O76" s="194">
        <f>IF(O75+1&lt;=MIN('Données projet'!$E$9:$E$18),O75+1,"STOP")</f>
        <v>43</v>
      </c>
      <c r="P76" s="185">
        <f t="shared" si="5"/>
        <v>0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25">
      <c r="A77" s="4"/>
      <c r="B77" s="4"/>
      <c r="C77" s="4"/>
      <c r="D77" s="4"/>
      <c r="E77" s="4"/>
      <c r="F77" s="230"/>
      <c r="G77" s="206"/>
      <c r="H77" s="190"/>
      <c r="I77" s="191"/>
      <c r="J77" s="4"/>
      <c r="K77" s="173"/>
      <c r="L77" s="4"/>
      <c r="M77" s="4"/>
      <c r="N77" s="4"/>
      <c r="O77" s="194">
        <f>IF(O76+1&lt;=MIN('Données projet'!$E$9:$E$18),O76+1,"STOP")</f>
        <v>44</v>
      </c>
      <c r="P77" s="185">
        <f t="shared" si="5"/>
        <v>0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25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1"/>
      <c r="G78" s="206"/>
      <c r="H78" s="190"/>
      <c r="I78" s="191"/>
      <c r="J78" s="4"/>
      <c r="K78" s="173"/>
      <c r="L78" s="4"/>
      <c r="M78" s="4"/>
      <c r="N78" s="4"/>
      <c r="O78" s="194">
        <f>IF(O77+1&lt;=MIN('Données projet'!$E$9:$E$18),O77+1,"STOP")</f>
        <v>45</v>
      </c>
      <c r="P78" s="185">
        <f t="shared" si="5"/>
        <v>0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25">
      <c r="A79" s="49">
        <v>0</v>
      </c>
      <c r="B79" s="199" t="s">
        <v>132</v>
      </c>
      <c r="C79" s="198" t="s">
        <v>132</v>
      </c>
      <c r="D79" s="197" t="s">
        <v>132</v>
      </c>
      <c r="E79" s="193"/>
      <c r="F79" s="231"/>
      <c r="G79" s="206"/>
      <c r="H79" s="190"/>
      <c r="I79" s="191"/>
      <c r="J79" s="4"/>
      <c r="K79" s="173"/>
      <c r="L79" s="4"/>
      <c r="M79" s="4"/>
      <c r="N79" s="4"/>
      <c r="O79" s="194">
        <f>IF(O78+1&lt;=MIN('Données projet'!$E$9:$E$18),O78+1,"STOP")</f>
        <v>46</v>
      </c>
      <c r="P79" s="185">
        <f t="shared" si="5"/>
        <v>0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25">
      <c r="A80" s="49">
        <v>1</v>
      </c>
      <c r="B80" s="199" t="s">
        <v>132</v>
      </c>
      <c r="C80" s="198" t="s">
        <v>132</v>
      </c>
      <c r="D80" s="197" t="s">
        <v>132</v>
      </c>
      <c r="E80" s="193"/>
      <c r="F80" s="231"/>
      <c r="G80" s="23"/>
      <c r="H80" s="190"/>
      <c r="I80" s="191"/>
      <c r="J80" s="4"/>
      <c r="K80" s="173"/>
      <c r="L80" s="4"/>
      <c r="M80" s="4"/>
      <c r="N80" s="4"/>
      <c r="O80" s="194">
        <f>IF(O79+1&lt;=MIN('Données projet'!$E$9:$E$18),O79+1,"STOP")</f>
        <v>47</v>
      </c>
      <c r="P80" s="185">
        <f t="shared" si="5"/>
        <v>0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25">
      <c r="A81" s="49">
        <v>2</v>
      </c>
      <c r="B81" s="199" t="s">
        <v>132</v>
      </c>
      <c r="C81" s="198" t="s">
        <v>132</v>
      </c>
      <c r="D81" s="197" t="s">
        <v>132</v>
      </c>
      <c r="E81" s="193"/>
      <c r="F81" s="231"/>
      <c r="G81" s="23"/>
      <c r="H81" s="190"/>
      <c r="I81" s="191"/>
      <c r="J81" s="4"/>
      <c r="K81" s="173"/>
      <c r="L81" s="4"/>
      <c r="M81" s="4"/>
      <c r="N81" s="4"/>
      <c r="O81" s="194">
        <f>IF(O80+1&lt;=MIN('Données projet'!$E$9:$E$18),O80+1,"STOP")</f>
        <v>48</v>
      </c>
      <c r="P81" s="185">
        <f t="shared" si="5"/>
        <v>0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25">
      <c r="A82" s="49">
        <v>3</v>
      </c>
      <c r="B82" s="199" t="s">
        <v>132</v>
      </c>
      <c r="C82" s="198" t="s">
        <v>132</v>
      </c>
      <c r="D82" s="197" t="s">
        <v>132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>
        <f>IF(O81+1&lt;=MIN('Données projet'!$E$9:$E$18),O81+1,"STOP")</f>
        <v>49</v>
      </c>
      <c r="P82" s="185">
        <f t="shared" si="5"/>
        <v>0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25">
      <c r="A83" s="49">
        <v>4</v>
      </c>
      <c r="B83" s="199" t="s">
        <v>132</v>
      </c>
      <c r="C83" s="198" t="s">
        <v>132</v>
      </c>
      <c r="D83" s="197" t="s">
        <v>132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>
        <f>IF(O82+1&lt;=MIN('Données projet'!$E$9:$E$18),O82+1,"STOP")</f>
        <v>50</v>
      </c>
      <c r="P83" s="185">
        <f t="shared" si="5"/>
        <v>0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25">
      <c r="A84" s="49">
        <v>5</v>
      </c>
      <c r="B84" s="199" t="s">
        <v>132</v>
      </c>
      <c r="C84" s="198" t="s">
        <v>132</v>
      </c>
      <c r="D84" s="197" t="s">
        <v>132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>
        <f>IF(O83+1&lt;=MIN('Données projet'!$E$9:$E$18),O83+1,"STOP")</f>
        <v>51</v>
      </c>
      <c r="P84" s="185">
        <f t="shared" si="5"/>
        <v>0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25">
      <c r="A85" s="180">
        <f>'Données projet'!A88</f>
        <v>0</v>
      </c>
      <c r="B85" s="181">
        <f>'Données projet'!D88</f>
        <v>0</v>
      </c>
      <c r="C85" s="191"/>
      <c r="D85" s="179">
        <f>B85*C85</f>
        <v>0</v>
      </c>
      <c r="E85" s="193"/>
      <c r="F85" s="232"/>
      <c r="G85" s="205"/>
      <c r="H85" s="190"/>
      <c r="I85" s="191"/>
      <c r="J85" s="4"/>
      <c r="K85" s="173"/>
      <c r="L85" s="4"/>
      <c r="M85" s="4"/>
      <c r="N85" s="4"/>
      <c r="O85" s="194">
        <f>IF(O84+1&lt;=MIN('Données projet'!$E$9:$E$18),O84+1,"STOP")</f>
        <v>52</v>
      </c>
      <c r="P85" s="185">
        <f t="shared" si="5"/>
        <v>0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25">
      <c r="A86" s="180">
        <f>'Données projet'!A89</f>
        <v>0</v>
      </c>
      <c r="B86" s="181">
        <f>'Données projet'!D89</f>
        <v>0</v>
      </c>
      <c r="C86" s="191"/>
      <c r="D86" s="179">
        <f t="shared" ref="D86:D104" si="6">B86*C86</f>
        <v>0</v>
      </c>
      <c r="E86" s="193"/>
      <c r="F86" s="232"/>
      <c r="G86" s="205"/>
      <c r="H86" s="190"/>
      <c r="I86" s="191"/>
      <c r="J86" s="4"/>
      <c r="K86" s="173"/>
      <c r="L86" s="4"/>
      <c r="M86" s="4"/>
      <c r="N86" s="4"/>
      <c r="O86" s="194">
        <f>IF(O85+1&lt;=MIN('Données projet'!$E$9:$E$18),O85+1,"STOP")</f>
        <v>53</v>
      </c>
      <c r="P86" s="185">
        <f t="shared" si="5"/>
        <v>0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25">
      <c r="A87" s="180">
        <f>'Données projet'!A90</f>
        <v>0</v>
      </c>
      <c r="B87" s="181">
        <f>'Données projet'!D90</f>
        <v>0</v>
      </c>
      <c r="C87" s="191"/>
      <c r="D87" s="179">
        <f t="shared" si="6"/>
        <v>0</v>
      </c>
      <c r="E87" s="193"/>
      <c r="F87" s="232"/>
      <c r="G87" s="205"/>
      <c r="H87" s="190"/>
      <c r="I87" s="191"/>
      <c r="J87" s="4"/>
      <c r="K87" s="173"/>
      <c r="L87" s="4"/>
      <c r="M87" s="4"/>
      <c r="N87" s="4"/>
      <c r="O87" s="194">
        <f>IF(O86+1&lt;=MIN('Données projet'!$E$9:$E$18),O86+1,"STOP")</f>
        <v>54</v>
      </c>
      <c r="P87" s="185">
        <f t="shared" si="5"/>
        <v>0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25">
      <c r="A88" s="180">
        <f>'Données projet'!A91</f>
        <v>0</v>
      </c>
      <c r="B88" s="181">
        <f>'Données projet'!D91</f>
        <v>0</v>
      </c>
      <c r="C88" s="191"/>
      <c r="D88" s="179">
        <f t="shared" si="6"/>
        <v>0</v>
      </c>
      <c r="E88" s="193"/>
      <c r="F88" s="232"/>
      <c r="G88" s="205"/>
      <c r="H88" s="190"/>
      <c r="I88" s="191"/>
      <c r="J88" s="4"/>
      <c r="K88" s="173"/>
      <c r="L88" s="4"/>
      <c r="M88" s="4"/>
      <c r="N88" s="4"/>
      <c r="O88" s="194">
        <f>IF(O87+1&lt;=MIN('Données projet'!$E$9:$E$18),O87+1,"STOP")</f>
        <v>55</v>
      </c>
      <c r="P88" s="185">
        <f t="shared" si="5"/>
        <v>0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25">
      <c r="A89" s="180">
        <f>'Données projet'!A92</f>
        <v>0</v>
      </c>
      <c r="B89" s="181">
        <f>'Données projet'!D92</f>
        <v>0</v>
      </c>
      <c r="C89" s="191"/>
      <c r="D89" s="179">
        <f t="shared" si="6"/>
        <v>0</v>
      </c>
      <c r="E89" s="193"/>
      <c r="F89" s="232"/>
      <c r="G89" s="205"/>
      <c r="H89" s="190"/>
      <c r="I89" s="191"/>
      <c r="J89" s="4"/>
      <c r="K89" s="173"/>
      <c r="L89" s="4"/>
      <c r="M89" s="4"/>
      <c r="N89" s="4"/>
      <c r="O89" s="194">
        <f>IF(O88+1&lt;=MIN('Données projet'!$E$9:$E$18),O88+1,"STOP")</f>
        <v>56</v>
      </c>
      <c r="P89" s="185">
        <f t="shared" si="5"/>
        <v>0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25">
      <c r="A90" s="180">
        <f>'Données projet'!A93</f>
        <v>0</v>
      </c>
      <c r="B90" s="181">
        <f>'Données projet'!D93</f>
        <v>0</v>
      </c>
      <c r="C90" s="191"/>
      <c r="D90" s="179">
        <f t="shared" si="6"/>
        <v>0</v>
      </c>
      <c r="E90" s="193"/>
      <c r="F90" s="232"/>
      <c r="G90" s="205"/>
      <c r="H90" s="190"/>
      <c r="I90" s="191"/>
      <c r="J90" s="4"/>
      <c r="K90" s="173"/>
      <c r="L90" s="4"/>
      <c r="M90" s="4"/>
      <c r="N90" s="4"/>
      <c r="O90" s="194">
        <f>IF(O89+1&lt;=MIN('Données projet'!$E$9:$E$18),O89+1,"STOP")</f>
        <v>57</v>
      </c>
      <c r="P90" s="185">
        <f t="shared" si="5"/>
        <v>0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25">
      <c r="A91" s="180">
        <f>'Données projet'!A94</f>
        <v>0</v>
      </c>
      <c r="B91" s="181">
        <f>'Données projet'!D94</f>
        <v>0</v>
      </c>
      <c r="C91" s="191"/>
      <c r="D91" s="179">
        <f t="shared" si="6"/>
        <v>0</v>
      </c>
      <c r="E91" s="193"/>
      <c r="F91" s="232"/>
      <c r="G91" s="206"/>
      <c r="H91" s="190"/>
      <c r="I91" s="191"/>
      <c r="J91" s="4"/>
      <c r="K91" s="173"/>
      <c r="L91" s="4"/>
      <c r="M91" s="4"/>
      <c r="N91" s="4"/>
      <c r="O91" s="194">
        <f>IF(O90+1&lt;=MIN('Données projet'!$E$9:$E$18),O90+1,"STOP")</f>
        <v>58</v>
      </c>
      <c r="P91" s="185">
        <f t="shared" si="5"/>
        <v>0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25">
      <c r="A92" s="180">
        <f>'Données projet'!A95</f>
        <v>0</v>
      </c>
      <c r="B92" s="181">
        <f>'Données projet'!D95</f>
        <v>0</v>
      </c>
      <c r="C92" s="191"/>
      <c r="D92" s="179">
        <f t="shared" si="6"/>
        <v>0</v>
      </c>
      <c r="E92" s="193"/>
      <c r="F92" s="232"/>
      <c r="G92" s="206"/>
      <c r="H92" s="190"/>
      <c r="I92" s="191"/>
      <c r="J92" s="4"/>
      <c r="K92" s="173"/>
      <c r="L92" s="4"/>
      <c r="M92" s="4"/>
      <c r="N92" s="4"/>
      <c r="O92" s="194">
        <f>IF(O91+1&lt;=MIN('Données projet'!$E$9:$E$18),O91+1,"STOP")</f>
        <v>59</v>
      </c>
      <c r="P92" s="185">
        <f t="shared" si="5"/>
        <v>0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25">
      <c r="A93" s="180">
        <f>'Données projet'!A96</f>
        <v>0</v>
      </c>
      <c r="B93" s="181">
        <f>'Données projet'!D96</f>
        <v>0</v>
      </c>
      <c r="C93" s="191"/>
      <c r="D93" s="179">
        <f t="shared" si="6"/>
        <v>0</v>
      </c>
      <c r="E93" s="193"/>
      <c r="F93" s="232"/>
      <c r="G93" s="206"/>
      <c r="H93" s="190"/>
      <c r="I93" s="191"/>
      <c r="J93" s="4"/>
      <c r="K93" s="173"/>
      <c r="L93" s="4"/>
      <c r="M93" s="4"/>
      <c r="N93" s="4"/>
      <c r="O93" s="194">
        <f>IF(O92+1&lt;=MIN('Données projet'!$E$9:$E$18),O92+1,"STOP")</f>
        <v>60</v>
      </c>
      <c r="P93" s="185">
        <f t="shared" si="5"/>
        <v>0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25">
      <c r="A94" s="180">
        <f>'Données projet'!A97</f>
        <v>0</v>
      </c>
      <c r="B94" s="181">
        <f>'Données projet'!D97</f>
        <v>0</v>
      </c>
      <c r="C94" s="191"/>
      <c r="D94" s="179">
        <f t="shared" si="6"/>
        <v>0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>
        <f>IF(O93+1&lt;=MIN('Données projet'!$E$9:$E$18),O93+1,"STOP")</f>
        <v>61</v>
      </c>
      <c r="P94" s="185">
        <f t="shared" si="5"/>
        <v>0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25">
      <c r="A95" s="180">
        <f>'Données projet'!A98</f>
        <v>0</v>
      </c>
      <c r="B95" s="181">
        <f>'Données projet'!D98</f>
        <v>0</v>
      </c>
      <c r="C95" s="191"/>
      <c r="D95" s="179">
        <f t="shared" si="6"/>
        <v>0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>
        <f>IF(O94+1&lt;=MIN('Données projet'!$E$9:$E$18),O94+1,"STOP")</f>
        <v>62</v>
      </c>
      <c r="P95" s="185">
        <f t="shared" si="5"/>
        <v>0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25">
      <c r="A96" s="180">
        <f>'Données projet'!A99</f>
        <v>0</v>
      </c>
      <c r="B96" s="181">
        <f>'Données projet'!D99</f>
        <v>0</v>
      </c>
      <c r="C96" s="191"/>
      <c r="D96" s="179">
        <f t="shared" si="6"/>
        <v>0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 t="str">
        <f>IF(O95+1&lt;=MIN('Données projet'!$E$9:$E$18),O95+1,"STOP")</f>
        <v>STOP</v>
      </c>
      <c r="P96" s="185" t="e">
        <f t="shared" si="5"/>
        <v>#VALUE!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25">
      <c r="A97" s="180">
        <f>'Données projet'!A100</f>
        <v>0</v>
      </c>
      <c r="B97" s="181">
        <f>'Données projet'!D100</f>
        <v>0</v>
      </c>
      <c r="C97" s="191"/>
      <c r="D97" s="179">
        <f t="shared" si="6"/>
        <v>0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 t="e">
        <f>IF(O96+1&lt;=MIN('Données projet'!$E$9:$E$18),O96+1,"STOP")</f>
        <v>#VALUE!</v>
      </c>
      <c r="P97" s="185" t="e">
        <f t="shared" ref="P97:P128" si="7">$P$25/(1+$M$4)^O97</f>
        <v>#VALUE!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25">
      <c r="A98" s="180">
        <f>'Données projet'!A101</f>
        <v>0</v>
      </c>
      <c r="B98" s="181">
        <f>'Données projet'!D101</f>
        <v>0</v>
      </c>
      <c r="C98" s="191"/>
      <c r="D98" s="179">
        <f t="shared" si="6"/>
        <v>0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 t="e">
        <f>IF(O97+1&lt;=MIN('Données projet'!$E$9:$E$18),O97+1,"STOP")</f>
        <v>#VALUE!</v>
      </c>
      <c r="P98" s="185" t="e">
        <f t="shared" si="7"/>
        <v>#VALUE!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25">
      <c r="A99" s="180">
        <f>'Données projet'!A102</f>
        <v>0</v>
      </c>
      <c r="B99" s="181">
        <f>'Données projet'!D102</f>
        <v>0</v>
      </c>
      <c r="C99" s="191"/>
      <c r="D99" s="179">
        <f t="shared" si="6"/>
        <v>0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 t="e">
        <f>IF(O98+1&lt;=MIN('Données projet'!$E$9:$E$18),O98+1,"STOP")</f>
        <v>#VALUE!</v>
      </c>
      <c r="P99" s="185" t="e">
        <f t="shared" si="7"/>
        <v>#VALUE!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25">
      <c r="A100" s="180">
        <f>'Données projet'!A103</f>
        <v>0</v>
      </c>
      <c r="B100" s="181">
        <f>'Données projet'!D103</f>
        <v>0</v>
      </c>
      <c r="C100" s="191"/>
      <c r="D100" s="179">
        <f t="shared" si="6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 t="e">
        <f>IF(O99+1&lt;=MIN('Données projet'!$E$9:$E$18),O99+1,"STOP")</f>
        <v>#VALUE!</v>
      </c>
      <c r="P100" s="185" t="e">
        <f t="shared" si="7"/>
        <v>#VALUE!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25">
      <c r="A101" s="180">
        <f>'Données projet'!A104</f>
        <v>0</v>
      </c>
      <c r="B101" s="181">
        <f>'Données projet'!D104</f>
        <v>0</v>
      </c>
      <c r="C101" s="191"/>
      <c r="D101" s="179">
        <f t="shared" si="6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 t="e">
        <f>IF(O100+1&lt;=MIN('Données projet'!$E$9:$E$18),O100+1,"STOP")</f>
        <v>#VALUE!</v>
      </c>
      <c r="P101" s="185" t="e">
        <f t="shared" si="7"/>
        <v>#VALUE!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25">
      <c r="A102" s="180">
        <f>'Données projet'!A105</f>
        <v>0</v>
      </c>
      <c r="B102" s="181">
        <f>'Données projet'!D105</f>
        <v>0</v>
      </c>
      <c r="C102" s="191"/>
      <c r="D102" s="179">
        <f t="shared" si="6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 t="e">
        <f>IF(O101+1&lt;=MIN('Données projet'!$E$9:$E$18),O101+1,"STOP")</f>
        <v>#VALUE!</v>
      </c>
      <c r="P102" s="185" t="e">
        <f t="shared" si="7"/>
        <v>#VALUE!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25">
      <c r="A103" s="180">
        <f>'Données projet'!A106</f>
        <v>0</v>
      </c>
      <c r="B103" s="181">
        <f>'Données projet'!D106</f>
        <v>0</v>
      </c>
      <c r="C103" s="191"/>
      <c r="D103" s="179">
        <f t="shared" si="6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 t="e">
        <f>IF(O102+1&lt;=MIN('Données projet'!$E$9:$E$18),O102+1,"STOP")</f>
        <v>#VALUE!</v>
      </c>
      <c r="P103" s="185" t="e">
        <f t="shared" si="7"/>
        <v>#VALUE!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25">
      <c r="A104" s="180">
        <f>'Données projet'!A107</f>
        <v>0</v>
      </c>
      <c r="B104" s="181">
        <f>'Données projet'!D107</f>
        <v>0</v>
      </c>
      <c r="C104" s="191"/>
      <c r="D104" s="179">
        <f t="shared" si="6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 t="e">
        <f>IF(O103+1&lt;=MIN('Données projet'!$E$9:$E$18),O103+1,"STOP")</f>
        <v>#VALUE!</v>
      </c>
      <c r="P104" s="185" t="e">
        <f t="shared" si="7"/>
        <v>#VALUE!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25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7"/>
        <v>#VALUE!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25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7"/>
        <v>#VALUE!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25">
      <c r="A107" s="46" t="s">
        <v>168</v>
      </c>
      <c r="B107" s="174" t="str">
        <f>IF('Données projet'!B12="","",'Données projet'!B12)</f>
        <v/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7"/>
        <v>#VALUE!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25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7"/>
        <v>#VALUE!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25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7"/>
        <v>#VALUE!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25">
      <c r="A110" s="49">
        <v>0</v>
      </c>
      <c r="B110" s="199" t="s">
        <v>132</v>
      </c>
      <c r="C110" s="198" t="s">
        <v>132</v>
      </c>
      <c r="D110" s="197" t="s">
        <v>132</v>
      </c>
      <c r="E110" s="193"/>
      <c r="F110" s="231"/>
      <c r="G110" s="206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7"/>
        <v>#VALUE!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25">
      <c r="A111" s="49">
        <v>1</v>
      </c>
      <c r="B111" s="199" t="s">
        <v>132</v>
      </c>
      <c r="C111" s="198" t="s">
        <v>132</v>
      </c>
      <c r="D111" s="197" t="s">
        <v>132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7"/>
        <v>#VALUE!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25">
      <c r="A112" s="49">
        <v>2</v>
      </c>
      <c r="B112" s="199" t="s">
        <v>132</v>
      </c>
      <c r="C112" s="198" t="s">
        <v>132</v>
      </c>
      <c r="D112" s="197" t="s">
        <v>132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7"/>
        <v>#VALUE!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25">
      <c r="A113" s="49">
        <v>3</v>
      </c>
      <c r="B113" s="199" t="s">
        <v>132</v>
      </c>
      <c r="C113" s="198" t="s">
        <v>132</v>
      </c>
      <c r="D113" s="197" t="s">
        <v>132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7"/>
        <v>#VALUE!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25">
      <c r="A114" s="49">
        <v>4</v>
      </c>
      <c r="B114" s="199" t="s">
        <v>132</v>
      </c>
      <c r="C114" s="198" t="s">
        <v>132</v>
      </c>
      <c r="D114" s="197" t="s">
        <v>132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7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25">
      <c r="A115" s="49">
        <v>5</v>
      </c>
      <c r="B115" s="199" t="s">
        <v>132</v>
      </c>
      <c r="C115" s="198" t="s">
        <v>132</v>
      </c>
      <c r="D115" s="197" t="s">
        <v>132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25">
      <c r="A116" s="180">
        <f>'Données projet'!A114</f>
        <v>0</v>
      </c>
      <c r="B116" s="181">
        <f>'Données projet'!D114</f>
        <v>0</v>
      </c>
      <c r="C116" s="191"/>
      <c r="D116" s="179">
        <f>B116*C116</f>
        <v>0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25">
      <c r="A117" s="180">
        <f>'Données projet'!A115</f>
        <v>0</v>
      </c>
      <c r="B117" s="181">
        <f>'Données projet'!D115</f>
        <v>0</v>
      </c>
      <c r="C117" s="191"/>
      <c r="D117" s="179">
        <f t="shared" ref="D117:D135" si="8">B117*C117</f>
        <v>0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25">
      <c r="A118" s="180">
        <f>'Données projet'!A116</f>
        <v>0</v>
      </c>
      <c r="B118" s="181">
        <f>'Données projet'!D116</f>
        <v>0</v>
      </c>
      <c r="C118" s="191"/>
      <c r="D118" s="179">
        <f t="shared" si="8"/>
        <v>0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25">
      <c r="A119" s="180">
        <f>'Données projet'!A117</f>
        <v>0</v>
      </c>
      <c r="B119" s="181">
        <f>'Données projet'!D117</f>
        <v>0</v>
      </c>
      <c r="C119" s="191"/>
      <c r="D119" s="179">
        <f t="shared" si="8"/>
        <v>0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25">
      <c r="A120" s="180">
        <f>'Données projet'!A118</f>
        <v>0</v>
      </c>
      <c r="B120" s="181">
        <f>'Données projet'!D118</f>
        <v>0</v>
      </c>
      <c r="C120" s="191"/>
      <c r="D120" s="179">
        <f t="shared" si="8"/>
        <v>0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25">
      <c r="A121" s="180">
        <f>'Données projet'!A119</f>
        <v>0</v>
      </c>
      <c r="B121" s="181">
        <f>'Données projet'!D119</f>
        <v>0</v>
      </c>
      <c r="C121" s="191"/>
      <c r="D121" s="179">
        <f t="shared" si="8"/>
        <v>0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25">
      <c r="A122" s="180">
        <f>'Données projet'!A120</f>
        <v>0</v>
      </c>
      <c r="B122" s="181">
        <f>'Données projet'!D120</f>
        <v>0</v>
      </c>
      <c r="C122" s="191"/>
      <c r="D122" s="179">
        <f t="shared" si="8"/>
        <v>0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25">
      <c r="A123" s="180">
        <f>'Données projet'!A121</f>
        <v>0</v>
      </c>
      <c r="B123" s="181">
        <f>'Données projet'!D121</f>
        <v>0</v>
      </c>
      <c r="C123" s="191"/>
      <c r="D123" s="179">
        <f t="shared" si="8"/>
        <v>0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25">
      <c r="A124" s="180">
        <f>'Données projet'!A122</f>
        <v>0</v>
      </c>
      <c r="B124" s="181">
        <f>'Données projet'!D122</f>
        <v>0</v>
      </c>
      <c r="C124" s="191"/>
      <c r="D124" s="179">
        <f t="shared" si="8"/>
        <v>0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25">
      <c r="A125" s="180">
        <f>'Données projet'!A123</f>
        <v>0</v>
      </c>
      <c r="B125" s="181">
        <f>'Données projet'!D123</f>
        <v>0</v>
      </c>
      <c r="C125" s="191"/>
      <c r="D125" s="179">
        <f t="shared" si="8"/>
        <v>0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25">
      <c r="A126" s="180">
        <f>'Données projet'!A124</f>
        <v>0</v>
      </c>
      <c r="B126" s="181">
        <f>'Données projet'!D124</f>
        <v>0</v>
      </c>
      <c r="C126" s="191"/>
      <c r="D126" s="179">
        <f t="shared" si="8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25">
      <c r="A127" s="180">
        <f>'Données projet'!A125</f>
        <v>0</v>
      </c>
      <c r="B127" s="181">
        <f>'Données projet'!D125</f>
        <v>0</v>
      </c>
      <c r="C127" s="191"/>
      <c r="D127" s="179">
        <f t="shared" si="8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25">
      <c r="A128" s="180">
        <f>'Données projet'!A126</f>
        <v>0</v>
      </c>
      <c r="B128" s="181">
        <f>'Données projet'!D126</f>
        <v>0</v>
      </c>
      <c r="C128" s="191"/>
      <c r="D128" s="179">
        <f t="shared" si="8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25">
      <c r="A129" s="180">
        <f>'Données projet'!A127</f>
        <v>0</v>
      </c>
      <c r="B129" s="181">
        <f>'Données projet'!D127</f>
        <v>0</v>
      </c>
      <c r="C129" s="191"/>
      <c r="D129" s="179">
        <f t="shared" si="8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25">
      <c r="A130" s="180">
        <f>'Données projet'!A128</f>
        <v>0</v>
      </c>
      <c r="B130" s="181">
        <f>'Données projet'!D128</f>
        <v>0</v>
      </c>
      <c r="C130" s="191"/>
      <c r="D130" s="179">
        <f t="shared" si="8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25">
      <c r="A131" s="180">
        <f>'Données projet'!A129</f>
        <v>0</v>
      </c>
      <c r="B131" s="181">
        <f>'Données projet'!D129</f>
        <v>0</v>
      </c>
      <c r="C131" s="191"/>
      <c r="D131" s="179">
        <f t="shared" si="8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25">
      <c r="A132" s="180">
        <f>'Données projet'!A130</f>
        <v>0</v>
      </c>
      <c r="B132" s="181">
        <f>'Données projet'!D130</f>
        <v>0</v>
      </c>
      <c r="C132" s="191"/>
      <c r="D132" s="179">
        <f t="shared" si="8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25">
      <c r="A133" s="180">
        <f>'Données projet'!A131</f>
        <v>0</v>
      </c>
      <c r="B133" s="181">
        <f>'Données projet'!D131</f>
        <v>0</v>
      </c>
      <c r="C133" s="191"/>
      <c r="D133" s="179">
        <f t="shared" si="8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25">
      <c r="A134" s="180">
        <f>'Données projet'!A132</f>
        <v>0</v>
      </c>
      <c r="B134" s="181">
        <f>'Données projet'!D132</f>
        <v>0</v>
      </c>
      <c r="C134" s="191"/>
      <c r="D134" s="179">
        <f t="shared" si="8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25">
      <c r="A135" s="180">
        <f>'Données projet'!A133</f>
        <v>0</v>
      </c>
      <c r="B135" s="181">
        <f>'Données projet'!D133</f>
        <v>0</v>
      </c>
      <c r="C135" s="191"/>
      <c r="D135" s="179">
        <f t="shared" si="8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25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25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25">
      <c r="A138" s="46" t="s">
        <v>169</v>
      </c>
      <c r="B138" s="174" t="str">
        <f>IF('Données projet'!B13="","",'Données projet'!B13)</f>
        <v/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25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ht="30" x14ac:dyDescent="0.25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25">
      <c r="A141" s="49">
        <v>0</v>
      </c>
      <c r="B141" s="199" t="s">
        <v>132</v>
      </c>
      <c r="C141" s="198" t="s">
        <v>132</v>
      </c>
      <c r="D141" s="197" t="s">
        <v>132</v>
      </c>
      <c r="E141" s="193"/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25">
      <c r="A142" s="49">
        <v>1</v>
      </c>
      <c r="B142" s="199" t="s">
        <v>132</v>
      </c>
      <c r="C142" s="198" t="s">
        <v>132</v>
      </c>
      <c r="D142" s="197" t="s">
        <v>132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25">
      <c r="A143" s="49">
        <v>2</v>
      </c>
      <c r="B143" s="199" t="s">
        <v>132</v>
      </c>
      <c r="C143" s="198" t="s">
        <v>132</v>
      </c>
      <c r="D143" s="197" t="s">
        <v>132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25">
      <c r="A144" s="49">
        <v>3</v>
      </c>
      <c r="B144" s="199" t="s">
        <v>132</v>
      </c>
      <c r="C144" s="198" t="s">
        <v>132</v>
      </c>
      <c r="D144" s="197" t="s">
        <v>132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25">
      <c r="A145" s="49">
        <v>4</v>
      </c>
      <c r="B145" s="199" t="s">
        <v>132</v>
      </c>
      <c r="C145" s="198" t="s">
        <v>132</v>
      </c>
      <c r="D145" s="197" t="s">
        <v>132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25">
      <c r="A146" s="49">
        <v>5</v>
      </c>
      <c r="B146" s="199" t="s">
        <v>132</v>
      </c>
      <c r="C146" s="198" t="s">
        <v>132</v>
      </c>
      <c r="D146" s="197" t="s">
        <v>132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25">
      <c r="A147" s="42">
        <f>'Données projet'!A140</f>
        <v>0</v>
      </c>
      <c r="B147" s="175">
        <f>'Données projet'!D140</f>
        <v>0</v>
      </c>
      <c r="C147" s="191"/>
      <c r="D147" s="182">
        <f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25">
      <c r="A148" s="42">
        <f>'Données projet'!A141</f>
        <v>0</v>
      </c>
      <c r="B148" s="175">
        <f>'Données projet'!D141</f>
        <v>0</v>
      </c>
      <c r="C148" s="191"/>
      <c r="D148" s="182">
        <f t="shared" ref="D148:D166" si="10">B148*C148</f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25">
      <c r="A149" s="42">
        <f>'Données projet'!A142</f>
        <v>0</v>
      </c>
      <c r="B149" s="175">
        <f>'Données projet'!D142</f>
        <v>0</v>
      </c>
      <c r="C149" s="191"/>
      <c r="D149" s="182">
        <f t="shared" si="10"/>
        <v>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25">
      <c r="A150" s="42">
        <f>'Données projet'!A143</f>
        <v>0</v>
      </c>
      <c r="B150" s="175">
        <f>'Données projet'!D143</f>
        <v>0</v>
      </c>
      <c r="C150" s="191"/>
      <c r="D150" s="182">
        <f t="shared" si="10"/>
        <v>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25">
      <c r="A151" s="42">
        <f>'Données projet'!A144</f>
        <v>0</v>
      </c>
      <c r="B151" s="175">
        <f>'Données projet'!D144</f>
        <v>0</v>
      </c>
      <c r="C151" s="191"/>
      <c r="D151" s="182">
        <f t="shared" si="10"/>
        <v>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25">
      <c r="A152" s="42">
        <f>'Données projet'!A145</f>
        <v>0</v>
      </c>
      <c r="B152" s="175">
        <f>'Données projet'!D145</f>
        <v>0</v>
      </c>
      <c r="C152" s="191"/>
      <c r="D152" s="182">
        <f t="shared" si="10"/>
        <v>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25">
      <c r="A153" s="42">
        <f>'Données projet'!A146</f>
        <v>0</v>
      </c>
      <c r="B153" s="175">
        <f>'Données projet'!D146</f>
        <v>0</v>
      </c>
      <c r="C153" s="191"/>
      <c r="D153" s="182">
        <f t="shared" si="10"/>
        <v>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25">
      <c r="A154" s="42">
        <f>'Données projet'!A147</f>
        <v>0</v>
      </c>
      <c r="B154" s="175">
        <f>'Données projet'!D147</f>
        <v>0</v>
      </c>
      <c r="C154" s="191"/>
      <c r="D154" s="182">
        <f t="shared" si="10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25">
      <c r="A155" s="42">
        <f>'Données projet'!A148</f>
        <v>0</v>
      </c>
      <c r="B155" s="175">
        <f>'Données projet'!D148</f>
        <v>0</v>
      </c>
      <c r="C155" s="191"/>
      <c r="D155" s="182">
        <f t="shared" si="10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25">
      <c r="A156" s="42">
        <f>'Données projet'!A149</f>
        <v>0</v>
      </c>
      <c r="B156" s="175">
        <f>'Données projet'!D149</f>
        <v>0</v>
      </c>
      <c r="C156" s="191"/>
      <c r="D156" s="182">
        <f t="shared" si="10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25">
      <c r="A157" s="42">
        <f>'Données projet'!A150</f>
        <v>0</v>
      </c>
      <c r="B157" s="175">
        <f>'Données projet'!D150</f>
        <v>0</v>
      </c>
      <c r="C157" s="191"/>
      <c r="D157" s="182">
        <f t="shared" si="10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25">
      <c r="A158" s="42">
        <f>'Données projet'!A151</f>
        <v>0</v>
      </c>
      <c r="B158" s="175">
        <f>'Données projet'!D151</f>
        <v>0</v>
      </c>
      <c r="C158" s="191"/>
      <c r="D158" s="182">
        <f t="shared" si="10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25">
      <c r="A159" s="42">
        <f>'Données projet'!A152</f>
        <v>0</v>
      </c>
      <c r="B159" s="175">
        <f>'Données projet'!D152</f>
        <v>0</v>
      </c>
      <c r="C159" s="191"/>
      <c r="D159" s="182">
        <f t="shared" si="10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25">
      <c r="A160" s="42">
        <f>'Données projet'!A153</f>
        <v>0</v>
      </c>
      <c r="B160" s="175">
        <f>'Données projet'!D153</f>
        <v>0</v>
      </c>
      <c r="C160" s="191"/>
      <c r="D160" s="182">
        <f t="shared" si="10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25">
      <c r="A161" s="42">
        <f>'Données projet'!A154</f>
        <v>0</v>
      </c>
      <c r="B161" s="175">
        <f>'Données projet'!D154</f>
        <v>0</v>
      </c>
      <c r="C161" s="191"/>
      <c r="D161" s="182">
        <f t="shared" si="10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25">
      <c r="A162" s="42">
        <f>'Données projet'!A155</f>
        <v>0</v>
      </c>
      <c r="B162" s="175">
        <f>'Données projet'!D155</f>
        <v>0</v>
      </c>
      <c r="C162" s="191"/>
      <c r="D162" s="182">
        <f t="shared" si="10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25">
      <c r="A163" s="42">
        <f>'Données projet'!A156</f>
        <v>0</v>
      </c>
      <c r="B163" s="175">
        <f>'Données projet'!D156</f>
        <v>0</v>
      </c>
      <c r="C163" s="191"/>
      <c r="D163" s="182">
        <f t="shared" si="10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25">
      <c r="A164" s="42">
        <f>'Données projet'!A157</f>
        <v>0</v>
      </c>
      <c r="B164" s="175">
        <f>'Données projet'!D157</f>
        <v>0</v>
      </c>
      <c r="C164" s="191"/>
      <c r="D164" s="182">
        <f t="shared" si="10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25">
      <c r="A165" s="42">
        <f>'Données projet'!A158</f>
        <v>0</v>
      </c>
      <c r="B165" s="175">
        <f>'Données projet'!D158</f>
        <v>0</v>
      </c>
      <c r="C165" s="191"/>
      <c r="D165" s="182">
        <f t="shared" si="10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25">
      <c r="A166" s="42">
        <f>'Données projet'!A159</f>
        <v>0</v>
      </c>
      <c r="B166" s="175">
        <f>'Données projet'!D159</f>
        <v>0</v>
      </c>
      <c r="C166" s="191"/>
      <c r="D166" s="182">
        <f t="shared" si="10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25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25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25">
      <c r="A169" s="46" t="s">
        <v>170</v>
      </c>
      <c r="B169" s="174" t="str">
        <f>IF('Données projet'!B14="","",'Données projet'!B14)</f>
        <v/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25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25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25">
      <c r="A172" s="49">
        <v>0</v>
      </c>
      <c r="B172" s="199" t="s">
        <v>132</v>
      </c>
      <c r="C172" s="198" t="s">
        <v>132</v>
      </c>
      <c r="D172" s="197" t="s">
        <v>132</v>
      </c>
      <c r="E172" s="193"/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25">
      <c r="A173" s="49">
        <v>1</v>
      </c>
      <c r="B173" s="199" t="s">
        <v>132</v>
      </c>
      <c r="C173" s="198" t="s">
        <v>132</v>
      </c>
      <c r="D173" s="197" t="s">
        <v>132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25">
      <c r="A174" s="49">
        <v>2</v>
      </c>
      <c r="B174" s="199" t="s">
        <v>132</v>
      </c>
      <c r="C174" s="198" t="s">
        <v>132</v>
      </c>
      <c r="D174" s="197" t="s">
        <v>132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25">
      <c r="A175" s="49">
        <v>3</v>
      </c>
      <c r="B175" s="199" t="s">
        <v>132</v>
      </c>
      <c r="C175" s="198" t="s">
        <v>132</v>
      </c>
      <c r="D175" s="197" t="s">
        <v>132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25">
      <c r="A176" s="49">
        <v>4</v>
      </c>
      <c r="B176" s="199" t="s">
        <v>132</v>
      </c>
      <c r="C176" s="198" t="s">
        <v>132</v>
      </c>
      <c r="D176" s="197" t="s">
        <v>132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25">
      <c r="A177" s="49">
        <v>5</v>
      </c>
      <c r="B177" s="199" t="s">
        <v>132</v>
      </c>
      <c r="C177" s="198" t="s">
        <v>132</v>
      </c>
      <c r="D177" s="197" t="s">
        <v>132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25">
      <c r="A178" s="180">
        <f>'Données projet'!A166</f>
        <v>0</v>
      </c>
      <c r="B178" s="181">
        <f>'Données projet'!D166</f>
        <v>0</v>
      </c>
      <c r="C178" s="193"/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25">
      <c r="A179" s="180">
        <f>'Données projet'!A167</f>
        <v>0</v>
      </c>
      <c r="B179" s="181">
        <f>'Données projet'!D167</f>
        <v>0</v>
      </c>
      <c r="C179" s="193"/>
      <c r="D179" s="179">
        <f t="shared" ref="D179:D197" si="11">B179*C179</f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25">
      <c r="A180" s="180">
        <f>'Données projet'!A168</f>
        <v>0</v>
      </c>
      <c r="B180" s="181">
        <f>'Données projet'!D168</f>
        <v>0</v>
      </c>
      <c r="C180" s="193"/>
      <c r="D180" s="179">
        <f t="shared" si="11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25">
      <c r="A181" s="180">
        <f>'Données projet'!A169</f>
        <v>0</v>
      </c>
      <c r="B181" s="181">
        <f>'Données projet'!D169</f>
        <v>0</v>
      </c>
      <c r="C181" s="193"/>
      <c r="D181" s="179">
        <f t="shared" si="11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25">
      <c r="A182" s="180">
        <f>'Données projet'!A170</f>
        <v>0</v>
      </c>
      <c r="B182" s="181">
        <f>'Données projet'!D170</f>
        <v>0</v>
      </c>
      <c r="C182" s="193"/>
      <c r="D182" s="179">
        <f t="shared" si="11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25">
      <c r="A183" s="180">
        <f>'Données projet'!A171</f>
        <v>0</v>
      </c>
      <c r="B183" s="181">
        <f>'Données projet'!D171</f>
        <v>0</v>
      </c>
      <c r="C183" s="193"/>
      <c r="D183" s="179">
        <f t="shared" si="11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25">
      <c r="A184" s="180">
        <f>'Données projet'!A172</f>
        <v>0</v>
      </c>
      <c r="B184" s="181">
        <f>'Données projet'!D172</f>
        <v>0</v>
      </c>
      <c r="C184" s="193"/>
      <c r="D184" s="179">
        <f t="shared" si="11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25">
      <c r="A185" s="180">
        <f>'Données projet'!A173</f>
        <v>0</v>
      </c>
      <c r="B185" s="181">
        <f>'Données projet'!D173</f>
        <v>0</v>
      </c>
      <c r="C185" s="193"/>
      <c r="D185" s="179">
        <f t="shared" si="11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25">
      <c r="A186" s="180">
        <f>'Données projet'!A174</f>
        <v>0</v>
      </c>
      <c r="B186" s="181">
        <f>'Données projet'!D174</f>
        <v>0</v>
      </c>
      <c r="C186" s="193"/>
      <c r="D186" s="179">
        <f t="shared" si="11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25">
      <c r="A187" s="180">
        <f>'Données projet'!A175</f>
        <v>0</v>
      </c>
      <c r="B187" s="181">
        <f>'Données projet'!D175</f>
        <v>0</v>
      </c>
      <c r="C187" s="193"/>
      <c r="D187" s="179">
        <f t="shared" si="11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25">
      <c r="A188" s="180">
        <f>'Données projet'!A176</f>
        <v>0</v>
      </c>
      <c r="B188" s="181">
        <f>'Données projet'!D176</f>
        <v>0</v>
      </c>
      <c r="C188" s="193"/>
      <c r="D188" s="179">
        <f t="shared" si="11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25">
      <c r="A189" s="180">
        <f>'Données projet'!A177</f>
        <v>0</v>
      </c>
      <c r="B189" s="181">
        <f>'Données projet'!D177</f>
        <v>0</v>
      </c>
      <c r="C189" s="193"/>
      <c r="D189" s="179">
        <f t="shared" si="11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25">
      <c r="A190" s="180">
        <f>'Données projet'!A178</f>
        <v>0</v>
      </c>
      <c r="B190" s="181">
        <f>'Données projet'!D178</f>
        <v>0</v>
      </c>
      <c r="C190" s="193"/>
      <c r="D190" s="179">
        <f t="shared" si="11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25">
      <c r="A191" s="180">
        <f>'Données projet'!A179</f>
        <v>0</v>
      </c>
      <c r="B191" s="181">
        <f>'Données projet'!D179</f>
        <v>0</v>
      </c>
      <c r="C191" s="193"/>
      <c r="D191" s="179">
        <f t="shared" si="11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25">
      <c r="A192" s="180">
        <f>'Données projet'!A180</f>
        <v>0</v>
      </c>
      <c r="B192" s="181">
        <f>'Données projet'!D180</f>
        <v>0</v>
      </c>
      <c r="C192" s="193"/>
      <c r="D192" s="179">
        <f t="shared" si="11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25">
      <c r="A193" s="180">
        <f>'Données projet'!A181</f>
        <v>0</v>
      </c>
      <c r="B193" s="181">
        <f>'Données projet'!D181</f>
        <v>0</v>
      </c>
      <c r="C193" s="193"/>
      <c r="D193" s="179">
        <f t="shared" si="11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25">
      <c r="A194" s="180">
        <f>'Données projet'!A182</f>
        <v>0</v>
      </c>
      <c r="B194" s="181">
        <f>'Données projet'!D182</f>
        <v>0</v>
      </c>
      <c r="C194" s="193"/>
      <c r="D194" s="179">
        <f t="shared" si="11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25">
      <c r="A195" s="180">
        <f>'Données projet'!A183</f>
        <v>0</v>
      </c>
      <c r="B195" s="181">
        <f>'Données projet'!D183</f>
        <v>0</v>
      </c>
      <c r="C195" s="193"/>
      <c r="D195" s="179">
        <f t="shared" si="11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25">
      <c r="A196" s="180">
        <f>'Données projet'!A184</f>
        <v>0</v>
      </c>
      <c r="B196" s="181">
        <f>'Données projet'!D184</f>
        <v>0</v>
      </c>
      <c r="C196" s="193"/>
      <c r="D196" s="179">
        <f t="shared" si="11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25">
      <c r="A197" s="180">
        <f>'Données projet'!A185</f>
        <v>0</v>
      </c>
      <c r="B197" s="181">
        <f>'Données projet'!D185</f>
        <v>0</v>
      </c>
      <c r="C197" s="193"/>
      <c r="D197" s="179">
        <f t="shared" si="11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25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25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25">
      <c r="A200" s="46" t="s">
        <v>171</v>
      </c>
      <c r="B200" s="174" t="str">
        <f>IF('Données projet'!$B$15="","",'Données projet'!$B$15)</f>
        <v/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25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25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25">
      <c r="A203" s="49">
        <v>0</v>
      </c>
      <c r="B203" s="199" t="s">
        <v>132</v>
      </c>
      <c r="C203" s="198" t="s">
        <v>132</v>
      </c>
      <c r="D203" s="197" t="s">
        <v>132</v>
      </c>
      <c r="E203" s="193"/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25">
      <c r="A204" s="49">
        <v>1</v>
      </c>
      <c r="B204" s="199" t="s">
        <v>132</v>
      </c>
      <c r="C204" s="198" t="s">
        <v>132</v>
      </c>
      <c r="D204" s="197" t="s">
        <v>132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25">
      <c r="A205" s="49">
        <v>2</v>
      </c>
      <c r="B205" s="199" t="s">
        <v>132</v>
      </c>
      <c r="C205" s="198" t="s">
        <v>132</v>
      </c>
      <c r="D205" s="197" t="s">
        <v>132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25">
      <c r="A206" s="49">
        <v>3</v>
      </c>
      <c r="B206" s="199" t="s">
        <v>132</v>
      </c>
      <c r="C206" s="198" t="s">
        <v>132</v>
      </c>
      <c r="D206" s="197" t="s">
        <v>132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25">
      <c r="A207" s="49">
        <v>4</v>
      </c>
      <c r="B207" s="199" t="s">
        <v>132</v>
      </c>
      <c r="C207" s="198" t="s">
        <v>132</v>
      </c>
      <c r="D207" s="197" t="s">
        <v>132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25">
      <c r="A208" s="49">
        <v>5</v>
      </c>
      <c r="B208" s="199" t="s">
        <v>132</v>
      </c>
      <c r="C208" s="198" t="s">
        <v>132</v>
      </c>
      <c r="D208" s="197" t="s">
        <v>132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25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25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2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25">
      <c r="A211" s="180">
        <f>'Données projet'!A194</f>
        <v>0</v>
      </c>
      <c r="B211" s="181">
        <f>'Données projet'!D194</f>
        <v>0</v>
      </c>
      <c r="C211" s="193"/>
      <c r="D211" s="179">
        <f t="shared" si="12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25">
      <c r="A212" s="180">
        <f>'Données projet'!A195</f>
        <v>0</v>
      </c>
      <c r="B212" s="181">
        <f>'Données projet'!D195</f>
        <v>0</v>
      </c>
      <c r="C212" s="193"/>
      <c r="D212" s="179">
        <f t="shared" si="12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25">
      <c r="A213" s="180">
        <f>'Données projet'!A196</f>
        <v>0</v>
      </c>
      <c r="B213" s="181">
        <f>'Données projet'!D196</f>
        <v>0</v>
      </c>
      <c r="C213" s="193"/>
      <c r="D213" s="179">
        <f t="shared" si="12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25">
      <c r="A214" s="180">
        <f>'Données projet'!A197</f>
        <v>0</v>
      </c>
      <c r="B214" s="181">
        <f>'Données projet'!D197</f>
        <v>0</v>
      </c>
      <c r="C214" s="193"/>
      <c r="D214" s="179">
        <f t="shared" si="12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25">
      <c r="A215" s="180">
        <f>'Données projet'!A198</f>
        <v>0</v>
      </c>
      <c r="B215" s="181">
        <f>'Données projet'!D198</f>
        <v>0</v>
      </c>
      <c r="C215" s="193"/>
      <c r="D215" s="179">
        <f t="shared" si="12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25">
      <c r="A216" s="180">
        <f>'Données projet'!A199</f>
        <v>0</v>
      </c>
      <c r="B216" s="181">
        <f>'Données projet'!D199</f>
        <v>0</v>
      </c>
      <c r="C216" s="193"/>
      <c r="D216" s="179">
        <f t="shared" si="12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25">
      <c r="A217" s="180">
        <f>'Données projet'!A200</f>
        <v>0</v>
      </c>
      <c r="B217" s="181">
        <f>'Données projet'!D200</f>
        <v>0</v>
      </c>
      <c r="C217" s="193"/>
      <c r="D217" s="179">
        <f t="shared" si="12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25">
      <c r="A218" s="180">
        <f>'Données projet'!A201</f>
        <v>0</v>
      </c>
      <c r="B218" s="181">
        <f>'Données projet'!D201</f>
        <v>0</v>
      </c>
      <c r="C218" s="193"/>
      <c r="D218" s="179">
        <f t="shared" si="12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25">
      <c r="A219" s="180">
        <f>'Données projet'!A202</f>
        <v>0</v>
      </c>
      <c r="B219" s="181">
        <f>'Données projet'!D202</f>
        <v>0</v>
      </c>
      <c r="C219" s="193"/>
      <c r="D219" s="179">
        <f t="shared" si="12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25">
      <c r="A220" s="180">
        <f>'Données projet'!A203</f>
        <v>0</v>
      </c>
      <c r="B220" s="181">
        <f>'Données projet'!D203</f>
        <v>0</v>
      </c>
      <c r="C220" s="193"/>
      <c r="D220" s="179">
        <f t="shared" si="12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25">
      <c r="A221" s="180">
        <f>'Données projet'!A204</f>
        <v>0</v>
      </c>
      <c r="B221" s="181">
        <f>'Données projet'!D204</f>
        <v>0</v>
      </c>
      <c r="C221" s="193"/>
      <c r="D221" s="179">
        <f t="shared" si="12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25">
      <c r="A222" s="180">
        <f>'Données projet'!A205</f>
        <v>0</v>
      </c>
      <c r="B222" s="181">
        <f>'Données projet'!D205</f>
        <v>0</v>
      </c>
      <c r="C222" s="193"/>
      <c r="D222" s="179">
        <f t="shared" si="12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25">
      <c r="A223" s="180">
        <f>'Données projet'!A206</f>
        <v>0</v>
      </c>
      <c r="B223" s="181">
        <f>'Données projet'!D206</f>
        <v>0</v>
      </c>
      <c r="C223" s="193"/>
      <c r="D223" s="179">
        <f t="shared" si="12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25">
      <c r="A224" s="180">
        <f>'Données projet'!A207</f>
        <v>0</v>
      </c>
      <c r="B224" s="181">
        <f>'Données projet'!D207</f>
        <v>0</v>
      </c>
      <c r="C224" s="193"/>
      <c r="D224" s="179">
        <f t="shared" si="12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25">
      <c r="A225" s="180">
        <f>'Données projet'!A208</f>
        <v>0</v>
      </c>
      <c r="B225" s="181">
        <f>'Données projet'!D208</f>
        <v>0</v>
      </c>
      <c r="C225" s="193"/>
      <c r="D225" s="179">
        <f t="shared" si="12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25">
      <c r="A226" s="180">
        <f>'Données projet'!A209</f>
        <v>0</v>
      </c>
      <c r="B226" s="181">
        <f>'Données projet'!D209</f>
        <v>0</v>
      </c>
      <c r="C226" s="193"/>
      <c r="D226" s="179">
        <f t="shared" si="12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25">
      <c r="A227" s="180">
        <f>'Données projet'!A210</f>
        <v>0</v>
      </c>
      <c r="B227" s="181">
        <f>'Données projet'!D210</f>
        <v>0</v>
      </c>
      <c r="C227" s="193"/>
      <c r="D227" s="179">
        <f t="shared" si="12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25">
      <c r="A228" s="180">
        <f>'Données projet'!A211</f>
        <v>0</v>
      </c>
      <c r="B228" s="181">
        <f>'Données projet'!D211</f>
        <v>0</v>
      </c>
      <c r="C228" s="193"/>
      <c r="D228" s="179">
        <f t="shared" si="12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25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25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25">
      <c r="A231" s="46" t="s">
        <v>172</v>
      </c>
      <c r="B231" s="174" t="str">
        <f>IF('Données projet'!$B$16="","",'Données projet'!$B$16)</f>
        <v/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25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25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25">
      <c r="A234" s="49">
        <v>0</v>
      </c>
      <c r="B234" s="199" t="s">
        <v>132</v>
      </c>
      <c r="C234" s="198" t="s">
        <v>132</v>
      </c>
      <c r="D234" s="197" t="s">
        <v>132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25">
      <c r="A235" s="49">
        <v>1</v>
      </c>
      <c r="B235" s="199" t="s">
        <v>132</v>
      </c>
      <c r="C235" s="198" t="s">
        <v>132</v>
      </c>
      <c r="D235" s="197" t="s">
        <v>132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25">
      <c r="A236" s="49">
        <v>2</v>
      </c>
      <c r="B236" s="199" t="s">
        <v>132</v>
      </c>
      <c r="C236" s="198" t="s">
        <v>132</v>
      </c>
      <c r="D236" s="197" t="s">
        <v>132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25">
      <c r="A237" s="49">
        <v>3</v>
      </c>
      <c r="B237" s="199" t="s">
        <v>132</v>
      </c>
      <c r="C237" s="198" t="s">
        <v>132</v>
      </c>
      <c r="D237" s="197" t="s">
        <v>132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25">
      <c r="A238" s="49">
        <v>4</v>
      </c>
      <c r="B238" s="199" t="s">
        <v>132</v>
      </c>
      <c r="C238" s="198" t="s">
        <v>132</v>
      </c>
      <c r="D238" s="197" t="s">
        <v>132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25">
      <c r="A239" s="49">
        <v>5</v>
      </c>
      <c r="B239" s="199" t="s">
        <v>132</v>
      </c>
      <c r="C239" s="198" t="s">
        <v>132</v>
      </c>
      <c r="D239" s="197" t="s">
        <v>132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25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25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3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25">
      <c r="A242" s="180">
        <f>'Données projet'!A220</f>
        <v>0</v>
      </c>
      <c r="B242" s="181">
        <f>'Données projet'!D220</f>
        <v>0</v>
      </c>
      <c r="C242" s="193"/>
      <c r="D242" s="179">
        <f t="shared" si="13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25">
      <c r="A243" s="180">
        <f>'Données projet'!A221</f>
        <v>0</v>
      </c>
      <c r="B243" s="181">
        <f>'Données projet'!D221</f>
        <v>0</v>
      </c>
      <c r="C243" s="193"/>
      <c r="D243" s="179">
        <f t="shared" si="13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25">
      <c r="A244" s="180">
        <f>'Données projet'!A222</f>
        <v>0</v>
      </c>
      <c r="B244" s="181">
        <f>'Données projet'!D222</f>
        <v>0</v>
      </c>
      <c r="C244" s="193"/>
      <c r="D244" s="179">
        <f t="shared" si="13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25">
      <c r="A245" s="180">
        <f>'Données projet'!A223</f>
        <v>0</v>
      </c>
      <c r="B245" s="181">
        <f>'Données projet'!D223</f>
        <v>0</v>
      </c>
      <c r="C245" s="193"/>
      <c r="D245" s="179">
        <f t="shared" si="13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25">
      <c r="A246" s="180">
        <f>'Données projet'!A224</f>
        <v>0</v>
      </c>
      <c r="B246" s="181">
        <f>'Données projet'!D224</f>
        <v>0</v>
      </c>
      <c r="C246" s="193"/>
      <c r="D246" s="179">
        <f t="shared" si="13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25">
      <c r="A247" s="180">
        <f>'Données projet'!A225</f>
        <v>0</v>
      </c>
      <c r="B247" s="181">
        <f>'Données projet'!D225</f>
        <v>0</v>
      </c>
      <c r="C247" s="193"/>
      <c r="D247" s="179">
        <f t="shared" si="13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25">
      <c r="A248" s="180">
        <f>'Données projet'!A226</f>
        <v>0</v>
      </c>
      <c r="B248" s="181">
        <f>'Données projet'!D226</f>
        <v>0</v>
      </c>
      <c r="C248" s="193"/>
      <c r="D248" s="179">
        <f t="shared" si="13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25">
      <c r="A249" s="180">
        <f>'Données projet'!A227</f>
        <v>0</v>
      </c>
      <c r="B249" s="181">
        <f>'Données projet'!D227</f>
        <v>0</v>
      </c>
      <c r="C249" s="193"/>
      <c r="D249" s="179">
        <f t="shared" si="13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25">
      <c r="A250" s="180">
        <f>'Données projet'!A228</f>
        <v>0</v>
      </c>
      <c r="B250" s="181">
        <f>'Données projet'!D228</f>
        <v>0</v>
      </c>
      <c r="C250" s="193"/>
      <c r="D250" s="179">
        <f t="shared" si="13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25">
      <c r="A251" s="180">
        <f>'Données projet'!A229</f>
        <v>0</v>
      </c>
      <c r="B251" s="181">
        <f>'Données projet'!D229</f>
        <v>0</v>
      </c>
      <c r="C251" s="193"/>
      <c r="D251" s="179">
        <f t="shared" si="13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25">
      <c r="A252" s="180">
        <f>'Données projet'!A230</f>
        <v>0</v>
      </c>
      <c r="B252" s="181">
        <f>'Données projet'!D230</f>
        <v>0</v>
      </c>
      <c r="C252" s="193"/>
      <c r="D252" s="179">
        <f t="shared" si="13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25">
      <c r="A253" s="180">
        <f>'Données projet'!A231</f>
        <v>0</v>
      </c>
      <c r="B253" s="181">
        <f>'Données projet'!D231</f>
        <v>0</v>
      </c>
      <c r="C253" s="193"/>
      <c r="D253" s="179">
        <f t="shared" si="13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25">
      <c r="A254" s="180">
        <f>'Données projet'!A232</f>
        <v>0</v>
      </c>
      <c r="B254" s="181">
        <f>'Données projet'!D232</f>
        <v>0</v>
      </c>
      <c r="C254" s="193"/>
      <c r="D254" s="179">
        <f t="shared" si="13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25">
      <c r="A255" s="180">
        <f>'Données projet'!A233</f>
        <v>0</v>
      </c>
      <c r="B255" s="181">
        <f>'Données projet'!D233</f>
        <v>0</v>
      </c>
      <c r="C255" s="193"/>
      <c r="D255" s="179">
        <f t="shared" si="13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25">
      <c r="A256" s="180">
        <f>'Données projet'!A234</f>
        <v>0</v>
      </c>
      <c r="B256" s="181">
        <f>'Données projet'!D234</f>
        <v>0</v>
      </c>
      <c r="C256" s="193"/>
      <c r="D256" s="179">
        <f t="shared" si="13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25">
      <c r="A257" s="180">
        <f>'Données projet'!A235</f>
        <v>0</v>
      </c>
      <c r="B257" s="181">
        <f>'Données projet'!D235</f>
        <v>0</v>
      </c>
      <c r="C257" s="193"/>
      <c r="D257" s="179">
        <f t="shared" si="13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25">
      <c r="A258" s="180">
        <f>'Données projet'!A236</f>
        <v>0</v>
      </c>
      <c r="B258" s="181">
        <f>'Données projet'!D236</f>
        <v>0</v>
      </c>
      <c r="C258" s="193"/>
      <c r="D258" s="179">
        <f t="shared" si="13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25">
      <c r="A259" s="180">
        <f>'Données projet'!A237</f>
        <v>0</v>
      </c>
      <c r="B259" s="181">
        <f>'Données projet'!D237</f>
        <v>0</v>
      </c>
      <c r="C259" s="193"/>
      <c r="D259" s="179">
        <f t="shared" si="13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25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25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25">
      <c r="A262" s="46" t="s">
        <v>173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25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25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25">
      <c r="A265" s="49">
        <v>0</v>
      </c>
      <c r="B265" s="199" t="s">
        <v>132</v>
      </c>
      <c r="C265" s="198" t="s">
        <v>132</v>
      </c>
      <c r="D265" s="197" t="s">
        <v>132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25">
      <c r="A266" s="49">
        <v>1</v>
      </c>
      <c r="B266" s="199" t="s">
        <v>132</v>
      </c>
      <c r="C266" s="198" t="s">
        <v>132</v>
      </c>
      <c r="D266" s="197" t="s">
        <v>132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25">
      <c r="A267" s="49">
        <v>2</v>
      </c>
      <c r="B267" s="199" t="s">
        <v>132</v>
      </c>
      <c r="C267" s="198" t="s">
        <v>132</v>
      </c>
      <c r="D267" s="197" t="s">
        <v>132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25">
      <c r="A268" s="49">
        <v>3</v>
      </c>
      <c r="B268" s="199" t="s">
        <v>132</v>
      </c>
      <c r="C268" s="198" t="s">
        <v>132</v>
      </c>
      <c r="D268" s="197" t="s">
        <v>132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25">
      <c r="A269" s="49">
        <v>4</v>
      </c>
      <c r="B269" s="199" t="s">
        <v>132</v>
      </c>
      <c r="C269" s="198" t="s">
        <v>132</v>
      </c>
      <c r="D269" s="197" t="s">
        <v>132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25">
      <c r="A270" s="49">
        <v>5</v>
      </c>
      <c r="B270" s="199" t="s">
        <v>132</v>
      </c>
      <c r="C270" s="198" t="s">
        <v>132</v>
      </c>
      <c r="D270" s="197" t="s">
        <v>132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25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25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4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25">
      <c r="A273" s="180">
        <f>'Données projet'!A246</f>
        <v>0</v>
      </c>
      <c r="B273" s="181">
        <f>'Données projet'!D246</f>
        <v>0</v>
      </c>
      <c r="C273" s="193"/>
      <c r="D273" s="179">
        <f t="shared" si="14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25">
      <c r="A274" s="180">
        <f>'Données projet'!A247</f>
        <v>0</v>
      </c>
      <c r="B274" s="181">
        <f>'Données projet'!D247</f>
        <v>0</v>
      </c>
      <c r="C274" s="193"/>
      <c r="D274" s="179">
        <f t="shared" si="14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25">
      <c r="A275" s="180">
        <f>'Données projet'!A248</f>
        <v>0</v>
      </c>
      <c r="B275" s="181">
        <f>'Données projet'!D248</f>
        <v>0</v>
      </c>
      <c r="C275" s="193"/>
      <c r="D275" s="179">
        <f t="shared" si="14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25">
      <c r="A276" s="180">
        <f>'Données projet'!A249</f>
        <v>0</v>
      </c>
      <c r="B276" s="181">
        <f>'Données projet'!D249</f>
        <v>0</v>
      </c>
      <c r="C276" s="193"/>
      <c r="D276" s="179">
        <f t="shared" si="14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25">
      <c r="A277" s="180">
        <f>'Données projet'!A250</f>
        <v>0</v>
      </c>
      <c r="B277" s="181">
        <f>'Données projet'!D250</f>
        <v>0</v>
      </c>
      <c r="C277" s="193"/>
      <c r="D277" s="179">
        <f t="shared" si="14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25">
      <c r="A278" s="180">
        <f>'Données projet'!A251</f>
        <v>0</v>
      </c>
      <c r="B278" s="181">
        <f>'Données projet'!D251</f>
        <v>0</v>
      </c>
      <c r="C278" s="193"/>
      <c r="D278" s="179">
        <f t="shared" si="14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25">
      <c r="A279" s="180">
        <f>'Données projet'!A252</f>
        <v>0</v>
      </c>
      <c r="B279" s="181">
        <f>'Données projet'!D252</f>
        <v>0</v>
      </c>
      <c r="C279" s="193"/>
      <c r="D279" s="179">
        <f t="shared" si="14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25">
      <c r="A280" s="180">
        <f>'Données projet'!A253</f>
        <v>0</v>
      </c>
      <c r="B280" s="181">
        <f>'Données projet'!D253</f>
        <v>0</v>
      </c>
      <c r="C280" s="193"/>
      <c r="D280" s="179">
        <f t="shared" si="14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25">
      <c r="A281" s="180">
        <f>'Données projet'!A254</f>
        <v>0</v>
      </c>
      <c r="B281" s="181">
        <f>'Données projet'!D254</f>
        <v>0</v>
      </c>
      <c r="C281" s="193"/>
      <c r="D281" s="179">
        <f t="shared" si="14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25">
      <c r="A282" s="180">
        <f>'Données projet'!A255</f>
        <v>0</v>
      </c>
      <c r="B282" s="181">
        <f>'Données projet'!D255</f>
        <v>0</v>
      </c>
      <c r="C282" s="193"/>
      <c r="D282" s="179">
        <f t="shared" si="14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25">
      <c r="A283" s="180">
        <f>'Données projet'!A256</f>
        <v>0</v>
      </c>
      <c r="B283" s="181">
        <f>'Données projet'!D256</f>
        <v>0</v>
      </c>
      <c r="C283" s="193"/>
      <c r="D283" s="179">
        <f t="shared" si="14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25">
      <c r="A284" s="180">
        <f>'Données projet'!A257</f>
        <v>0</v>
      </c>
      <c r="B284" s="181">
        <f>'Données projet'!D257</f>
        <v>0</v>
      </c>
      <c r="C284" s="193"/>
      <c r="D284" s="179">
        <f t="shared" si="14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25">
      <c r="A285" s="180">
        <f>'Données projet'!A258</f>
        <v>0</v>
      </c>
      <c r="B285" s="181">
        <f>'Données projet'!D258</f>
        <v>0</v>
      </c>
      <c r="C285" s="193"/>
      <c r="D285" s="179">
        <f t="shared" si="14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25">
      <c r="A286" s="180">
        <f>'Données projet'!A259</f>
        <v>0</v>
      </c>
      <c r="B286" s="181">
        <f>'Données projet'!D259</f>
        <v>0</v>
      </c>
      <c r="C286" s="193"/>
      <c r="D286" s="179">
        <f t="shared" si="14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25">
      <c r="A287" s="180">
        <f>'Données projet'!A260</f>
        <v>0</v>
      </c>
      <c r="B287" s="181">
        <f>'Données projet'!D260</f>
        <v>0</v>
      </c>
      <c r="C287" s="193"/>
      <c r="D287" s="179">
        <f t="shared" si="14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25">
      <c r="A288" s="180">
        <f>'Données projet'!A261</f>
        <v>0</v>
      </c>
      <c r="B288" s="181">
        <f>'Données projet'!D261</f>
        <v>0</v>
      </c>
      <c r="C288" s="193"/>
      <c r="D288" s="179">
        <f t="shared" si="14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25">
      <c r="A289" s="180">
        <f>'Données projet'!A262</f>
        <v>0</v>
      </c>
      <c r="B289" s="181">
        <f>'Données projet'!D262</f>
        <v>0</v>
      </c>
      <c r="C289" s="193"/>
      <c r="D289" s="179">
        <f t="shared" si="14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25">
      <c r="A290" s="180">
        <f>'Données projet'!A263</f>
        <v>0</v>
      </c>
      <c r="B290" s="181">
        <f>'Données projet'!D263</f>
        <v>0</v>
      </c>
      <c r="C290" s="193"/>
      <c r="D290" s="179">
        <f t="shared" si="14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25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25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25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25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25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25">
      <c r="A296" s="49">
        <v>0</v>
      </c>
      <c r="B296" s="199" t="s">
        <v>132</v>
      </c>
      <c r="C296" s="198" t="s">
        <v>132</v>
      </c>
      <c r="D296" s="197" t="s">
        <v>132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25">
      <c r="A297" s="49">
        <v>1</v>
      </c>
      <c r="B297" s="199" t="s">
        <v>132</v>
      </c>
      <c r="C297" s="198" t="s">
        <v>132</v>
      </c>
      <c r="D297" s="197" t="s">
        <v>132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25">
      <c r="A298" s="49">
        <v>2</v>
      </c>
      <c r="B298" s="199" t="s">
        <v>132</v>
      </c>
      <c r="C298" s="198" t="s">
        <v>132</v>
      </c>
      <c r="D298" s="197" t="s">
        <v>132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25">
      <c r="A299" s="49">
        <v>3</v>
      </c>
      <c r="B299" s="199" t="s">
        <v>132</v>
      </c>
      <c r="C299" s="198" t="s">
        <v>132</v>
      </c>
      <c r="D299" s="197" t="s">
        <v>132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25">
      <c r="A300" s="49">
        <v>4</v>
      </c>
      <c r="B300" s="199" t="s">
        <v>132</v>
      </c>
      <c r="C300" s="198" t="s">
        <v>132</v>
      </c>
      <c r="D300" s="197" t="s">
        <v>132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25">
      <c r="A301" s="49">
        <v>5</v>
      </c>
      <c r="B301" s="199" t="s">
        <v>132</v>
      </c>
      <c r="C301" s="198" t="s">
        <v>132</v>
      </c>
      <c r="D301" s="197" t="s">
        <v>132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25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25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5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25">
      <c r="A304" s="180">
        <f>'Données projet'!A272</f>
        <v>0</v>
      </c>
      <c r="B304" s="181">
        <f>'Données projet'!D272</f>
        <v>0</v>
      </c>
      <c r="C304" s="191"/>
      <c r="D304" s="182">
        <f t="shared" si="15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25">
      <c r="A305" s="180">
        <f>'Données projet'!A273</f>
        <v>0</v>
      </c>
      <c r="B305" s="181">
        <f>'Données projet'!D273</f>
        <v>0</v>
      </c>
      <c r="C305" s="191"/>
      <c r="D305" s="182">
        <f t="shared" si="15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25">
      <c r="A306" s="180">
        <f>'Données projet'!A274</f>
        <v>0</v>
      </c>
      <c r="B306" s="181">
        <f>'Données projet'!D274</f>
        <v>0</v>
      </c>
      <c r="C306" s="191"/>
      <c r="D306" s="182">
        <f t="shared" si="15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25">
      <c r="A307" s="180">
        <f>'Données projet'!A275</f>
        <v>0</v>
      </c>
      <c r="B307" s="181">
        <f>'Données projet'!D275</f>
        <v>0</v>
      </c>
      <c r="C307" s="191"/>
      <c r="D307" s="182">
        <f t="shared" si="15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25">
      <c r="A308" s="180">
        <f>'Données projet'!A276</f>
        <v>0</v>
      </c>
      <c r="B308" s="181">
        <f>'Données projet'!D276</f>
        <v>0</v>
      </c>
      <c r="C308" s="191"/>
      <c r="D308" s="182">
        <f t="shared" si="15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25">
      <c r="A309" s="180">
        <f>'Données projet'!A277</f>
        <v>0</v>
      </c>
      <c r="B309" s="181">
        <f>'Données projet'!D277</f>
        <v>0</v>
      </c>
      <c r="C309" s="191"/>
      <c r="D309" s="182">
        <f t="shared" si="15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25">
      <c r="A310" s="180">
        <f>'Données projet'!A278</f>
        <v>0</v>
      </c>
      <c r="B310" s="181">
        <f>'Données projet'!D278</f>
        <v>0</v>
      </c>
      <c r="C310" s="191"/>
      <c r="D310" s="182">
        <f t="shared" si="15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25">
      <c r="A311" s="180">
        <f>'Données projet'!A279</f>
        <v>0</v>
      </c>
      <c r="B311" s="181">
        <f>'Données projet'!D279</f>
        <v>0</v>
      </c>
      <c r="C311" s="191"/>
      <c r="D311" s="182">
        <f t="shared" si="15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25">
      <c r="A312" s="180">
        <f>'Données projet'!A280</f>
        <v>0</v>
      </c>
      <c r="B312" s="181">
        <f>'Données projet'!D280</f>
        <v>0</v>
      </c>
      <c r="C312" s="191"/>
      <c r="D312" s="182">
        <f t="shared" si="15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25">
      <c r="A313" s="180">
        <f>'Données projet'!A281</f>
        <v>0</v>
      </c>
      <c r="B313" s="181">
        <f>'Données projet'!D281</f>
        <v>0</v>
      </c>
      <c r="C313" s="191"/>
      <c r="D313" s="182">
        <f t="shared" si="15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25">
      <c r="A314" s="180">
        <f>'Données projet'!A282</f>
        <v>0</v>
      </c>
      <c r="B314" s="181">
        <f>'Données projet'!D282</f>
        <v>0</v>
      </c>
      <c r="C314" s="191"/>
      <c r="D314" s="182">
        <f t="shared" si="15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25">
      <c r="A315" s="180">
        <f>'Données projet'!A283</f>
        <v>0</v>
      </c>
      <c r="B315" s="181">
        <f>'Données projet'!D283</f>
        <v>0</v>
      </c>
      <c r="C315" s="191"/>
      <c r="D315" s="182">
        <f t="shared" si="15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25">
      <c r="A316" s="180">
        <f>'Données projet'!A284</f>
        <v>0</v>
      </c>
      <c r="B316" s="181">
        <f>'Données projet'!D284</f>
        <v>0</v>
      </c>
      <c r="C316" s="191"/>
      <c r="D316" s="182">
        <f t="shared" si="15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25">
      <c r="A317" s="180">
        <f>'Données projet'!A285</f>
        <v>0</v>
      </c>
      <c r="B317" s="181">
        <f>'Données projet'!D285</f>
        <v>0</v>
      </c>
      <c r="C317" s="191"/>
      <c r="D317" s="182">
        <f t="shared" si="15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25">
      <c r="A318" s="180">
        <f>'Données projet'!A286</f>
        <v>0</v>
      </c>
      <c r="B318" s="181">
        <f>'Données projet'!D286</f>
        <v>0</v>
      </c>
      <c r="C318" s="191"/>
      <c r="D318" s="182">
        <f t="shared" si="15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25">
      <c r="A319" s="180">
        <f>'Données projet'!A287</f>
        <v>0</v>
      </c>
      <c r="B319" s="181">
        <f>'Données projet'!D287</f>
        <v>0</v>
      </c>
      <c r="C319" s="191"/>
      <c r="D319" s="182">
        <f t="shared" si="15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25">
      <c r="A320" s="180">
        <f>'Données projet'!A288</f>
        <v>0</v>
      </c>
      <c r="B320" s="181">
        <f>'Données projet'!D288</f>
        <v>0</v>
      </c>
      <c r="C320" s="191"/>
      <c r="D320" s="182">
        <f t="shared" si="15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25">
      <c r="A321" s="180">
        <f>'Données projet'!A289</f>
        <v>0</v>
      </c>
      <c r="B321" s="181">
        <f>'Données projet'!D289</f>
        <v>0</v>
      </c>
      <c r="C321" s="196"/>
      <c r="D321" s="182">
        <f t="shared" si="15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25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25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25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25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25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25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2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2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2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2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2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2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2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2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2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2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2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2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2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2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2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2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2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2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2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2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2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2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2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2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2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2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2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2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2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2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2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2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2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2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2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2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2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2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2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2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2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2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2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2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2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2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2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2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2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2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2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2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2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2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2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2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2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2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2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2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2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2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2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2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2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2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2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2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2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2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2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2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2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2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2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2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2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2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2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2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2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2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2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2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2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2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2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2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2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2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2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2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2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2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2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2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2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2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2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2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2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2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2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2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2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2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2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2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2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2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2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2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2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2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2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2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2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2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2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2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2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2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2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2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2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2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2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2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2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2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2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2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2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2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2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2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2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2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2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2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2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2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2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2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2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2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2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2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2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2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2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2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2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2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2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2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2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2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2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2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2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2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2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2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2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2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2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2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2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2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2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2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2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2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2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2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2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2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2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Camille DESTRUHAUT</cp:lastModifiedBy>
  <cp:lastPrinted>2023-11-15T15:52:35Z</cp:lastPrinted>
  <dcterms:created xsi:type="dcterms:W3CDTF">2021-02-01T08:22:39Z</dcterms:created>
  <dcterms:modified xsi:type="dcterms:W3CDTF">2023-11-15T15:58:42Z</dcterms:modified>
</cp:coreProperties>
</file>