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Forestarn\LACAUNE (81) - MATHA Yvon - CA NMP\Dossier déposé le 10 01 2024\"/>
    </mc:Choice>
  </mc:AlternateContent>
  <xr:revisionPtr revIDLastSave="0" documentId="13_ncr:1_{E3CC7526-E468-4B86-85AB-2FD500971E64}" xr6:coauthVersionLast="36" xr6:coauthVersionMax="36" xr10:uidLastSave="{00000000-0000-0000-0000-000000000000}"/>
  <bookViews>
    <workbookView xWindow="0" yWindow="0" windowWidth="28800" windowHeight="12615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51" i="2" l="1" a="1"/>
  <c r="AH151" i="2" s="1"/>
  <c r="AH163" i="2" a="1"/>
  <c r="AH163" i="2" s="1"/>
  <c r="AH62" i="2" a="1"/>
  <c r="AH62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<sst xmlns="http://schemas.openxmlformats.org/spreadsheetml/2006/main" count="1171" uniqueCount="324">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</sst>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1.5393896938194491</c:v>
                </c:pt>
                <c:pt idx="2">
                  <c:v>1.9340929760579824</c:v>
                </c:pt>
                <c:pt idx="3">
                  <c:v>2.4304041826975693</c:v>
                </c:pt>
                <c:pt idx="4">
                  <c:v>3.0545787484439804</c:v>
                </c:pt>
                <c:pt idx="5">
                  <c:v>3.839680427957596</c:v>
                </c:pt>
                <c:pt idx="6">
                  <c:v>4.8273525502098815</c:v>
                </c:pt>
                <c:pt idx="7">
                  <c:v>6.0700514754683512</c:v>
                </c:pt>
                <c:pt idx="8">
                  <c:v>7.6338631993393991</c:v>
                </c:pt>
                <c:pt idx="9">
                  <c:v>9.6020557757857823</c:v>
                </c:pt>
                <c:pt idx="10">
                  <c:v>12.079560300720253</c:v>
                </c:pt>
                <c:pt idx="11">
                  <c:v>15.198623807640407</c:v>
                </c:pt>
                <c:pt idx="12">
                  <c:v>19.125941354992019</c:v>
                </c:pt>
                <c:pt idx="13">
                  <c:v>24.071655343316234</c:v>
                </c:pt>
                <c:pt idx="14">
                  <c:v>30.300712128179242</c:v>
                </c:pt>
                <c:pt idx="15">
                  <c:v>38.147194904899251</c:v>
                </c:pt>
                <c:pt idx="16">
                  <c:v>48.03241472919786</c:v>
                </c:pt>
                <c:pt idx="17">
                  <c:v>60.487747376389791</c:v>
                </c:pt>
                <c:pt idx="18">
                  <c:v>76.183463875958196</c:v>
                </c:pt>
                <c:pt idx="19">
                  <c:v>95.96513133539338</c:v>
                </c:pt>
                <c:pt idx="20">
                  <c:v>120.89957623101225</c:v>
                </c:pt>
                <c:pt idx="21">
                  <c:v>127.54994966375402</c:v>
                </c:pt>
                <c:pt idx="22">
                  <c:v>134.19192451868898</c:v>
                </c:pt>
                <c:pt idx="23">
                  <c:v>140.82597594357114</c:v>
                </c:pt>
                <c:pt idx="24">
                  <c:v>147.45253056632168</c:v>
                </c:pt>
                <c:pt idx="25">
                  <c:v>154.0719734572057</c:v>
                </c:pt>
                <c:pt idx="26">
                  <c:v>160.68465382913149</c:v>
                </c:pt>
                <c:pt idx="27">
                  <c:v>167.2908897484331</c:v>
                </c:pt>
                <c:pt idx="28">
                  <c:v>173.89097206104813</c:v>
                </c:pt>
                <c:pt idx="29">
                  <c:v>180.48516769023783</c:v>
                </c:pt>
                <c:pt idx="30">
                  <c:v>187.07372242622981</c:v>
                </c:pt>
                <c:pt idx="31">
                  <c:v>194.16304064471555</c:v>
                </c:pt>
                <c:pt idx="32">
                  <c:v>201.24634176616689</c:v>
                </c:pt>
                <c:pt idx="33">
                  <c:v>208.32386777264207</c:v>
                </c:pt>
                <c:pt idx="34">
                  <c:v>215.39584283593408</c:v>
                </c:pt>
                <c:pt idx="35">
                  <c:v>222.46247518327695</c:v>
                </c:pt>
                <c:pt idx="36">
                  <c:v>229.52395871325157</c:v>
                </c:pt>
                <c:pt idx="37">
                  <c:v>236.58047440215805</c:v>
                </c:pt>
                <c:pt idx="38">
                  <c:v>243.63219153359822</c:v>
                </c:pt>
                <c:pt idx="39">
                  <c:v>250.67926877807722</c:v>
                </c:pt>
                <c:pt idx="40">
                  <c:v>257.72185514470988</c:v>
                </c:pt>
                <c:pt idx="41">
                  <c:v>201.24634176616689</c:v>
                </c:pt>
                <c:pt idx="42">
                  <c:v>208.32386777264207</c:v>
                </c:pt>
                <c:pt idx="43">
                  <c:v>215.39584283593408</c:v>
                </c:pt>
                <c:pt idx="44">
                  <c:v>222.46247518327695</c:v>
                </c:pt>
                <c:pt idx="45">
                  <c:v>229.52395871325157</c:v>
                </c:pt>
                <c:pt idx="46">
                  <c:v>236.58047440215805</c:v>
                </c:pt>
                <c:pt idx="47">
                  <c:v>243.63219153359822</c:v>
                </c:pt>
                <c:pt idx="48">
                  <c:v>250.67926877807722</c:v>
                </c:pt>
                <c:pt idx="49">
                  <c:v>257.72185514470988</c:v>
                </c:pt>
                <c:pt idx="50">
                  <c:v>264.76009082333889</c:v>
                </c:pt>
                <c:pt idx="51">
                  <c:v>272.79863050588671</c:v>
                </c:pt>
                <c:pt idx="52">
                  <c:v>280.83184541341694</c:v>
                </c:pt>
                <c:pt idx="53">
                  <c:v>288.85990949975201</c:v>
                </c:pt>
                <c:pt idx="54">
                  <c:v>296.88298625047742</c:v>
                </c:pt>
                <c:pt idx="55">
                  <c:v>304.90122958502047</c:v>
                </c:pt>
                <c:pt idx="56">
                  <c:v>312.91478465880101</c:v>
                </c:pt>
                <c:pt idx="57">
                  <c:v>320.9237885788545</c:v>
                </c:pt>
                <c:pt idx="58">
                  <c:v>328.92837104423444</c:v>
                </c:pt>
                <c:pt idx="59">
                  <c:v>336.92865492077652</c:v>
                </c:pt>
                <c:pt idx="60">
                  <c:v>344.92475675838381</c:v>
                </c:pt>
                <c:pt idx="61">
                  <c:v>285.34825454721067</c:v>
                </c:pt>
                <c:pt idx="62">
                  <c:v>292.8720614577478</c:v>
                </c:pt>
                <c:pt idx="63">
                  <c:v>300.39155369431421</c:v>
                </c:pt>
                <c:pt idx="64">
                  <c:v>307.90685461043864</c:v>
                </c:pt>
                <c:pt idx="65">
                  <c:v>315.41808104045475</c:v>
                </c:pt>
                <c:pt idx="66">
                  <c:v>322.92534379451826</c:v>
                </c:pt>
                <c:pt idx="67">
                  <c:v>330.4287481051519</c:v>
                </c:pt>
                <c:pt idx="68">
                  <c:v>337.92839403108081</c:v>
                </c:pt>
                <c:pt idx="69">
                  <c:v>345.42437682332138</c:v>
                </c:pt>
                <c:pt idx="70">
                  <c:v>352.9167872578102</c:v>
                </c:pt>
                <c:pt idx="71">
                  <c:v>291.56824760988326</c:v>
                </c:pt>
                <c:pt idx="72">
                  <c:v>299.28895999218292</c:v>
                </c:pt>
                <c:pt idx="73">
                  <c:v>307.00523587874881</c:v>
                </c:pt>
                <c:pt idx="74">
                  <c:v>314.71720261424775</c:v>
                </c:pt>
                <c:pt idx="75">
                  <c:v>322.42498078691864</c:v>
                </c:pt>
                <c:pt idx="76">
                  <c:v>330.12868474355952</c:v>
                </c:pt>
                <c:pt idx="77">
                  <c:v>337.82842305389983</c:v>
                </c:pt>
                <c:pt idx="78">
                  <c:v>345.52429893039567</c:v>
                </c:pt>
                <c:pt idx="79">
                  <c:v>353.21641060864749</c:v>
                </c:pt>
                <c:pt idx="80">
                  <c:v>360.90485169292765</c:v>
                </c:pt>
                <c:pt idx="81">
                  <c:v>298.18627576151783</c:v>
                </c:pt>
                <c:pt idx="82">
                  <c:v>306.50431116158171</c:v>
                </c:pt>
                <c:pt idx="83">
                  <c:v>314.81733022074974</c:v>
                </c:pt>
                <c:pt idx="84">
                  <c:v>323.12548419477213</c:v>
                </c:pt>
                <c:pt idx="85">
                  <c:v>331.42891591987274</c:v>
                </c:pt>
                <c:pt idx="86">
                  <c:v>339.72776048524321</c:v>
                </c:pt>
                <c:pt idx="87">
                  <c:v>348.02214583635424</c:v>
                </c:pt>
                <c:pt idx="88">
                  <c:v>356.31219331771285</c:v>
                </c:pt>
                <c:pt idx="89">
                  <c:v>364.59801816244266</c:v>
                </c:pt>
                <c:pt idx="90">
                  <c:v>372.87972993501268</c:v>
                </c:pt>
                <c:pt idx="91">
                  <c:v>308.20738114119689</c:v>
                </c:pt>
                <c:pt idx="92">
                  <c:v>316.51939170560036</c:v>
                </c:pt>
                <c:pt idx="93">
                  <c:v>324.82656710302007</c:v>
                </c:pt>
                <c:pt idx="94">
                  <c:v>333.1290485305754</c:v>
                </c:pt>
                <c:pt idx="95">
                  <c:v>341.42696956725422</c:v>
                </c:pt>
                <c:pt idx="96">
                  <c:v>349.7204567641636</c:v>
                </c:pt>
                <c:pt idx="97">
                  <c:v>358.00963017583189</c:v>
                </c:pt>
                <c:pt idx="98">
                  <c:v>366.29460383970871</c:v>
                </c:pt>
                <c:pt idx="99">
                  <c:v>374.57548620999506</c:v>
                </c:pt>
                <c:pt idx="100">
                  <c:v>382.85238055108965</c:v>
                </c:pt>
                <c:pt idx="101">
                  <c:v>1.590873277977066E-12</c:v>
                </c:pt>
                <c:pt idx="102">
                  <c:v>1.590873277977066E-12</c:v>
                </c:pt>
                <c:pt idx="103">
                  <c:v>1.590873277977066E-12</c:v>
                </c:pt>
                <c:pt idx="104">
                  <c:v>1.590873277977066E-12</c:v>
                </c:pt>
                <c:pt idx="105">
                  <c:v>1.590873277977066E-12</c:v>
                </c:pt>
                <c:pt idx="106">
                  <c:v>1.590873277977066E-12</c:v>
                </c:pt>
                <c:pt idx="107">
                  <c:v>1.590873277977066E-12</c:v>
                </c:pt>
                <c:pt idx="108">
                  <c:v>1.590873277977066E-12</c:v>
                </c:pt>
                <c:pt idx="109">
                  <c:v>1.590873277977066E-12</c:v>
                </c:pt>
                <c:pt idx="110">
                  <c:v>1.590873277977066E-12</c:v>
                </c:pt>
                <c:pt idx="111">
                  <c:v>1.590873277977066E-12</c:v>
                </c:pt>
                <c:pt idx="112">
                  <c:v>1.590873277977066E-12</c:v>
                </c:pt>
                <c:pt idx="113">
                  <c:v>1.590873277977066E-12</c:v>
                </c:pt>
                <c:pt idx="114">
                  <c:v>1.590873277977066E-12</c:v>
                </c:pt>
                <c:pt idx="115">
                  <c:v>1.590873277977066E-12</c:v>
                </c:pt>
                <c:pt idx="116">
                  <c:v>1.590873277977066E-12</c:v>
                </c:pt>
                <c:pt idx="117">
                  <c:v>1.590873277977066E-12</c:v>
                </c:pt>
                <c:pt idx="118">
                  <c:v>1.590873277977066E-12</c:v>
                </c:pt>
                <c:pt idx="119">
                  <c:v>1.590873277977066E-12</c:v>
                </c:pt>
                <c:pt idx="120">
                  <c:v>1.590873277977066E-12</c:v>
                </c:pt>
                <c:pt idx="121">
                  <c:v>1.590873277977066E-12</c:v>
                </c:pt>
                <c:pt idx="122">
                  <c:v>1.590873277977066E-12</c:v>
                </c:pt>
                <c:pt idx="123">
                  <c:v>1.590873277977066E-12</c:v>
                </c:pt>
                <c:pt idx="124">
                  <c:v>1.590873277977066E-12</c:v>
                </c:pt>
                <c:pt idx="125">
                  <c:v>1.590873277977066E-12</c:v>
                </c:pt>
                <c:pt idx="126">
                  <c:v>1.590873277977066E-12</c:v>
                </c:pt>
                <c:pt idx="127">
                  <c:v>1.590873277977066E-12</c:v>
                </c:pt>
                <c:pt idx="128">
                  <c:v>1.590873277977066E-12</c:v>
                </c:pt>
                <c:pt idx="129">
                  <c:v>1.590873277977066E-12</c:v>
                </c:pt>
                <c:pt idx="130">
                  <c:v>1.590873277977066E-12</c:v>
                </c:pt>
                <c:pt idx="131">
                  <c:v>1.590873277977066E-12</c:v>
                </c:pt>
                <c:pt idx="132">
                  <c:v>1.590873277977066E-12</c:v>
                </c:pt>
                <c:pt idx="133">
                  <c:v>1.590873277977066E-12</c:v>
                </c:pt>
                <c:pt idx="134">
                  <c:v>1.590873277977066E-12</c:v>
                </c:pt>
                <c:pt idx="135">
                  <c:v>1.590873277977066E-12</c:v>
                </c:pt>
                <c:pt idx="136">
                  <c:v>1.590873277977066E-12</c:v>
                </c:pt>
                <c:pt idx="137">
                  <c:v>1.590873277977066E-12</c:v>
                </c:pt>
                <c:pt idx="138">
                  <c:v>1.590873277977066E-12</c:v>
                </c:pt>
                <c:pt idx="139">
                  <c:v>1.590873277977066E-12</c:v>
                </c:pt>
                <c:pt idx="140">
                  <c:v>1.590873277977066E-12</c:v>
                </c:pt>
                <c:pt idx="141">
                  <c:v>1.590873277977066E-12</c:v>
                </c:pt>
                <c:pt idx="142">
                  <c:v>1.590873277977066E-12</c:v>
                </c:pt>
                <c:pt idx="143">
                  <c:v>1.590873277977066E-12</c:v>
                </c:pt>
                <c:pt idx="144">
                  <c:v>1.590873277977066E-12</c:v>
                </c:pt>
                <c:pt idx="145">
                  <c:v>1.590873277977066E-12</c:v>
                </c:pt>
                <c:pt idx="146">
                  <c:v>1.590873277977066E-12</c:v>
                </c:pt>
                <c:pt idx="147">
                  <c:v>1.590873277977066E-12</c:v>
                </c:pt>
                <c:pt idx="148">
                  <c:v>1.590873277977066E-12</c:v>
                </c:pt>
                <c:pt idx="149">
                  <c:v>1.590873277977066E-12</c:v>
                </c:pt>
                <c:pt idx="150">
                  <c:v>1.590873277977066E-12</c:v>
                </c:pt>
                <c:pt idx="151">
                  <c:v>1.590873277977066E-12</c:v>
                </c:pt>
                <c:pt idx="152">
                  <c:v>1.590873277977066E-12</c:v>
                </c:pt>
                <c:pt idx="153">
                  <c:v>1.590873277977066E-12</c:v>
                </c:pt>
                <c:pt idx="154">
                  <c:v>1.590873277977066E-12</c:v>
                </c:pt>
                <c:pt idx="155">
                  <c:v>1.590873277977066E-12</c:v>
                </c:pt>
                <c:pt idx="156">
                  <c:v>1.590873277977066E-12</c:v>
                </c:pt>
                <c:pt idx="157">
                  <c:v>1.590873277977066E-12</c:v>
                </c:pt>
                <c:pt idx="158">
                  <c:v>1.590873277977066E-12</c:v>
                </c:pt>
                <c:pt idx="159">
                  <c:v>1.590873277977066E-12</c:v>
                </c:pt>
                <c:pt idx="160">
                  <c:v>1.590873277977066E-12</c:v>
                </c:pt>
                <c:pt idx="161">
                  <c:v>1.590873277977066E-12</c:v>
                </c:pt>
                <c:pt idx="162">
                  <c:v>1.590873277977066E-12</c:v>
                </c:pt>
                <c:pt idx="163">
                  <c:v>1.590873277977066E-12</c:v>
                </c:pt>
                <c:pt idx="164">
                  <c:v>1.590873277977066E-12</c:v>
                </c:pt>
                <c:pt idx="165">
                  <c:v>1.590873277977066E-12</c:v>
                </c:pt>
                <c:pt idx="166">
                  <c:v>1.590873277977066E-12</c:v>
                </c:pt>
                <c:pt idx="167">
                  <c:v>1.590873277977066E-12</c:v>
                </c:pt>
                <c:pt idx="168">
                  <c:v>1.590873277977066E-12</c:v>
                </c:pt>
                <c:pt idx="169">
                  <c:v>1.590873277977066E-12</c:v>
                </c:pt>
                <c:pt idx="170">
                  <c:v>1.590873277977066E-12</c:v>
                </c:pt>
                <c:pt idx="171">
                  <c:v>1.590873277977066E-12</c:v>
                </c:pt>
                <c:pt idx="172">
                  <c:v>1.590873277977066E-12</c:v>
                </c:pt>
                <c:pt idx="173">
                  <c:v>1.590873277977066E-12</c:v>
                </c:pt>
                <c:pt idx="174">
                  <c:v>1.590873277977066E-12</c:v>
                </c:pt>
                <c:pt idx="175">
                  <c:v>1.590873277977066E-12</c:v>
                </c:pt>
                <c:pt idx="176">
                  <c:v>1.590873277977066E-12</c:v>
                </c:pt>
                <c:pt idx="177">
                  <c:v>1.590873277977066E-12</c:v>
                </c:pt>
                <c:pt idx="178">
                  <c:v>1.590873277977066E-12</c:v>
                </c:pt>
                <c:pt idx="179">
                  <c:v>1.590873277977066E-12</c:v>
                </c:pt>
                <c:pt idx="180">
                  <c:v>1.590873277977066E-12</c:v>
                </c:pt>
                <c:pt idx="181">
                  <c:v>1.590873277977066E-12</c:v>
                </c:pt>
                <c:pt idx="182">
                  <c:v>1.590873277977066E-12</c:v>
                </c:pt>
                <c:pt idx="183">
                  <c:v>1.590873277977066E-12</c:v>
                </c:pt>
                <c:pt idx="184">
                  <c:v>1.590873277977066E-12</c:v>
                </c:pt>
                <c:pt idx="185">
                  <c:v>1.590873277977066E-12</c:v>
                </c:pt>
                <c:pt idx="186">
                  <c:v>1.590873277977066E-12</c:v>
                </c:pt>
                <c:pt idx="187">
                  <c:v>1.590873277977066E-12</c:v>
                </c:pt>
                <c:pt idx="188">
                  <c:v>1.590873277977066E-12</c:v>
                </c:pt>
                <c:pt idx="189">
                  <c:v>1.590873277977066E-12</c:v>
                </c:pt>
                <c:pt idx="190">
                  <c:v>1.590873277977066E-12</c:v>
                </c:pt>
                <c:pt idx="191">
                  <c:v>1.590873277977066E-12</c:v>
                </c:pt>
                <c:pt idx="192">
                  <c:v>1.590873277977066E-12</c:v>
                </c:pt>
                <c:pt idx="193">
                  <c:v>1.590873277977066E-12</c:v>
                </c:pt>
                <c:pt idx="194">
                  <c:v>1.590873277977066E-12</c:v>
                </c:pt>
                <c:pt idx="195">
                  <c:v>1.590873277977066E-12</c:v>
                </c:pt>
                <c:pt idx="196">
                  <c:v>1.590873277977066E-12</c:v>
                </c:pt>
                <c:pt idx="197">
                  <c:v>1.590873277977066E-12</c:v>
                </c:pt>
                <c:pt idx="198">
                  <c:v>1.590873277977066E-12</c:v>
                </c:pt>
                <c:pt idx="199">
                  <c:v>1.590873277977066E-12</c:v>
                </c:pt>
                <c:pt idx="200">
                  <c:v>1.590873277977066E-12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1.8807803051454206</c:v>
                </c:pt>
                <c:pt idx="2">
                  <c:v>2.4338659530385267</c:v>
                </c:pt>
                <c:pt idx="3">
                  <c:v>3.1502609350315693</c:v>
                </c:pt>
                <c:pt idx="4">
                  <c:v>4.0783700502110554</c:v>
                </c:pt>
                <c:pt idx="5">
                  <c:v>5.2809964758932972</c:v>
                </c:pt>
                <c:pt idx="6">
                  <c:v>6.839638839379834</c:v>
                </c:pt>
                <c:pt idx="7">
                  <c:v>8.8600746163749324</c:v>
                </c:pt>
                <c:pt idx="8">
                  <c:v>11.479615989208229</c:v>
                </c:pt>
                <c:pt idx="9">
                  <c:v>14.87654050198527</c:v>
                </c:pt>
                <c:pt idx="10">
                  <c:v>19.282350104638549</c:v>
                </c:pt>
                <c:pt idx="11">
                  <c:v>24.997709077867171</c:v>
                </c:pt>
                <c:pt idx="12">
                  <c:v>32.413167678534187</c:v>
                </c:pt>
                <c:pt idx="13">
                  <c:v>42.036112123813787</c:v>
                </c:pt>
                <c:pt idx="14">
                  <c:v>54.525816175645708</c:v>
                </c:pt>
                <c:pt idx="15">
                  <c:v>70.739035632228152</c:v>
                </c:pt>
                <c:pt idx="16">
                  <c:v>91.78932427859479</c:v>
                </c:pt>
                <c:pt idx="17">
                  <c:v>119.12421016556203</c:v>
                </c:pt>
                <c:pt idx="18">
                  <c:v>154.62562208889187</c:v>
                </c:pt>
                <c:pt idx="19">
                  <c:v>200.74058596732007</c:v>
                </c:pt>
                <c:pt idx="20">
                  <c:v>235.51204202766243</c:v>
                </c:pt>
                <c:pt idx="21">
                  <c:v>270.16623181485778</c:v>
                </c:pt>
                <c:pt idx="22">
                  <c:v>304.72031452947482</c:v>
                </c:pt>
                <c:pt idx="23">
                  <c:v>339.1872321624985</c:v>
                </c:pt>
                <c:pt idx="24">
                  <c:v>373.57707921130037</c:v>
                </c:pt>
                <c:pt idx="25">
                  <c:v>407.89793949468162</c:v>
                </c:pt>
                <c:pt idx="26">
                  <c:v>376.9525885389333</c:v>
                </c:pt>
                <c:pt idx="27">
                  <c:v>410.27619508431599</c:v>
                </c:pt>
                <c:pt idx="28">
                  <c:v>443.54137638245015</c:v>
                </c:pt>
                <c:pt idx="29">
                  <c:v>476.75312396624321</c:v>
                </c:pt>
                <c:pt idx="30">
                  <c:v>509.91567780631357</c:v>
                </c:pt>
                <c:pt idx="31">
                  <c:v>478.64941517310723</c:v>
                </c:pt>
                <c:pt idx="32">
                  <c:v>511.3358881271144</c:v>
                </c:pt>
                <c:pt idx="33">
                  <c:v>543.978245254341</c:v>
                </c:pt>
                <c:pt idx="34">
                  <c:v>576.57950175211477</c:v>
                </c:pt>
                <c:pt idx="35">
                  <c:v>609.14230448868716</c:v>
                </c:pt>
                <c:pt idx="36">
                  <c:v>557.9213314887844</c:v>
                </c:pt>
                <c:pt idx="37">
                  <c:v>588.14593218797006</c:v>
                </c:pt>
                <c:pt idx="38">
                  <c:v>618.33819596367323</c:v>
                </c:pt>
                <c:pt idx="39">
                  <c:v>648.49992135083971</c:v>
                </c:pt>
                <c:pt idx="40">
                  <c:v>678.63272618537417</c:v>
                </c:pt>
                <c:pt idx="41">
                  <c:v>620.69565848153741</c:v>
                </c:pt>
                <c:pt idx="42">
                  <c:v>647.55781319141124</c:v>
                </c:pt>
                <c:pt idx="43">
                  <c:v>674.39699172585131</c:v>
                </c:pt>
                <c:pt idx="44">
                  <c:v>701.2142358040129</c:v>
                </c:pt>
                <c:pt idx="45">
                  <c:v>728.01050108203719</c:v>
                </c:pt>
                <c:pt idx="46">
                  <c:v>671.33751041747894</c:v>
                </c:pt>
                <c:pt idx="47">
                  <c:v>692.27753096210472</c:v>
                </c:pt>
                <c:pt idx="48">
                  <c:v>713.20457786722011</c:v>
                </c:pt>
                <c:pt idx="49">
                  <c:v>734.11908497147158</c:v>
                </c:pt>
                <c:pt idx="50">
                  <c:v>755.02145940727178</c:v>
                </c:pt>
                <c:pt idx="51">
                  <c:v>714.84998798766367</c:v>
                </c:pt>
                <c:pt idx="52">
                  <c:v>731.06492305237623</c:v>
                </c:pt>
                <c:pt idx="53">
                  <c:v>747.27253134258956</c:v>
                </c:pt>
                <c:pt idx="54">
                  <c:v>763.47299401473185</c:v>
                </c:pt>
                <c:pt idx="55">
                  <c:v>779.66648391733395</c:v>
                </c:pt>
                <c:pt idx="56">
                  <c:v>750.56015385100557</c:v>
                </c:pt>
                <c:pt idx="57">
                  <c:v>762.53402877829774</c:v>
                </c:pt>
                <c:pt idx="58">
                  <c:v>774.50408919046504</c:v>
                </c:pt>
                <c:pt idx="59">
                  <c:v>786.47040231283711</c:v>
                </c:pt>
                <c:pt idx="60">
                  <c:v>798.43303315959008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6" zoomScale="90" zoomScaleNormal="90" workbookViewId="0">
      <selection activeCell="D63" sqref="D63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3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164</v>
      </c>
      <c r="C9" s="35">
        <v>0.5</v>
      </c>
      <c r="D9" s="36">
        <f t="shared" ref="D9:D18" si="0">C9*$C$5</f>
        <v>1.5</v>
      </c>
      <c r="E9" s="37">
        <v>100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 t="s">
        <v>18</v>
      </c>
      <c r="C10" s="35">
        <v>0.5</v>
      </c>
      <c r="D10" s="36">
        <f t="shared" si="0"/>
        <v>1.5</v>
      </c>
      <c r="E10" s="37">
        <v>60</v>
      </c>
      <c r="F10" s="38" t="str">
        <f t="array" ref="F10">IF(E10="","",IF(INDEX(A:A,MAX(IF(ISNUMBER($A$62:$A$81),ROW($A$62:$A$81),"")))&lt;&gt;E10,"Corrigez : révolution incorrecte","OK"))</f>
        <v>OK</v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3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Cèdre de l'Atlas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20</v>
      </c>
      <c r="B36" s="63">
        <v>115</v>
      </c>
      <c r="C36" s="63">
        <v>1</v>
      </c>
      <c r="D36" s="63">
        <v>0</v>
      </c>
      <c r="E36" s="54">
        <v>0.4</v>
      </c>
      <c r="F36" s="54">
        <v>0.4</v>
      </c>
      <c r="G36" s="54">
        <v>0.2</v>
      </c>
      <c r="H36" s="54"/>
      <c r="I36" s="52">
        <f>IFERROR(B36/A36,"")</f>
        <v>5.75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30</v>
      </c>
      <c r="B37" s="63">
        <v>180</v>
      </c>
      <c r="C37" s="63">
        <v>2</v>
      </c>
      <c r="D37" s="63">
        <v>0</v>
      </c>
      <c r="E37" s="54">
        <v>0.6</v>
      </c>
      <c r="F37" s="54">
        <v>0.3</v>
      </c>
      <c r="G37" s="54">
        <v>0.1</v>
      </c>
      <c r="H37" s="54"/>
      <c r="I37" s="56">
        <f t="shared" ref="I37:I55" si="1">IF(A37&lt;&gt;0,(B37-(B36-D36))/(A37-A36),"")</f>
        <v>6.5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40</v>
      </c>
      <c r="B38" s="63">
        <v>250</v>
      </c>
      <c r="C38" s="63">
        <v>3</v>
      </c>
      <c r="D38" s="63">
        <v>63</v>
      </c>
      <c r="E38" s="54"/>
      <c r="F38" s="54"/>
      <c r="G38" s="54"/>
      <c r="H38" s="54"/>
      <c r="I38" s="56">
        <f t="shared" si="1"/>
        <v>7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50</v>
      </c>
      <c r="B39" s="63">
        <v>257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60</v>
      </c>
      <c r="B40" s="63">
        <v>337</v>
      </c>
      <c r="C40" s="63">
        <v>5</v>
      </c>
      <c r="D40" s="63">
        <v>67</v>
      </c>
      <c r="E40" s="54"/>
      <c r="F40" s="54"/>
      <c r="G40" s="54"/>
      <c r="H40" s="54"/>
      <c r="I40" s="52">
        <f t="shared" si="1"/>
        <v>8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70</v>
      </c>
      <c r="B41" s="63">
        <v>345</v>
      </c>
      <c r="C41" s="63">
        <v>6</v>
      </c>
      <c r="D41" s="63">
        <v>69</v>
      </c>
      <c r="E41" s="54"/>
      <c r="F41" s="54"/>
      <c r="G41" s="54"/>
      <c r="H41" s="54"/>
      <c r="I41" s="56">
        <f t="shared" si="1"/>
        <v>7.5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80</v>
      </c>
      <c r="B42" s="63">
        <v>353</v>
      </c>
      <c r="C42" s="63">
        <v>7</v>
      </c>
      <c r="D42" s="63">
        <v>71</v>
      </c>
      <c r="E42" s="54"/>
      <c r="F42" s="54"/>
      <c r="G42" s="54"/>
      <c r="H42" s="54"/>
      <c r="I42" s="56">
        <f t="shared" si="1"/>
        <v>7.7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90</v>
      </c>
      <c r="B43" s="63">
        <v>365</v>
      </c>
      <c r="C43" s="63">
        <v>8</v>
      </c>
      <c r="D43" s="63">
        <v>73</v>
      </c>
      <c r="E43" s="54"/>
      <c r="F43" s="54"/>
      <c r="G43" s="54"/>
      <c r="H43" s="54"/>
      <c r="I43" s="52">
        <f t="shared" si="1"/>
        <v>8.3000000000000007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100</v>
      </c>
      <c r="B44" s="63">
        <v>375</v>
      </c>
      <c r="C44" s="63">
        <v>9</v>
      </c>
      <c r="D44" s="63">
        <v>375</v>
      </c>
      <c r="E44" s="54"/>
      <c r="F44" s="54"/>
      <c r="G44" s="54"/>
      <c r="H44" s="54"/>
      <c r="I44" s="52">
        <f t="shared" si="1"/>
        <v>8.3000000000000007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>Douglas</v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>
        <v>19</v>
      </c>
      <c r="B62" s="63">
        <v>162</v>
      </c>
      <c r="C62" s="63">
        <v>1</v>
      </c>
      <c r="D62" s="63">
        <v>0</v>
      </c>
      <c r="E62" s="54">
        <v>0.15</v>
      </c>
      <c r="F62" s="54"/>
      <c r="G62" s="54">
        <v>0.85</v>
      </c>
      <c r="H62" s="54"/>
      <c r="I62" s="56">
        <f>IFERROR(B62/A62,"")</f>
        <v>8.526315789473685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>
        <v>25</v>
      </c>
      <c r="B63" s="63">
        <v>335</v>
      </c>
      <c r="C63" s="63">
        <v>2</v>
      </c>
      <c r="D63" s="63">
        <v>54</v>
      </c>
      <c r="E63" s="54">
        <v>0.25</v>
      </c>
      <c r="F63" s="54"/>
      <c r="G63" s="54">
        <v>0.75</v>
      </c>
      <c r="H63" s="54"/>
      <c r="I63" s="52">
        <f>IF(A63&lt;&gt;0,(B63-(B62-D62))/(A63-A62),"")</f>
        <v>28.833333333333332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>
        <v>30</v>
      </c>
      <c r="B64" s="63">
        <v>421</v>
      </c>
      <c r="C64" s="63">
        <v>3</v>
      </c>
      <c r="D64" s="63">
        <v>54</v>
      </c>
      <c r="E64" s="54">
        <v>0.35</v>
      </c>
      <c r="F64" s="54"/>
      <c r="G64" s="54">
        <v>0.65</v>
      </c>
      <c r="H64" s="54"/>
      <c r="I64" s="52">
        <f>IF(A64&lt;&gt;0,(B64-(B63-D63))/(A64-A63),"")</f>
        <v>28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>
        <v>35</v>
      </c>
      <c r="B65" s="63">
        <v>505</v>
      </c>
      <c r="C65" s="63">
        <v>4</v>
      </c>
      <c r="D65" s="63">
        <v>69</v>
      </c>
      <c r="E65" s="54"/>
      <c r="F65" s="54"/>
      <c r="G65" s="54"/>
      <c r="H65" s="54"/>
      <c r="I65" s="52">
        <f>IF(A65&lt;&gt;0,(B65-(B64-D64))/(A65-A64),"")</f>
        <v>27.6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>
        <v>40</v>
      </c>
      <c r="B66" s="63">
        <v>564</v>
      </c>
      <c r="C66" s="63">
        <v>5</v>
      </c>
      <c r="D66" s="63">
        <v>72</v>
      </c>
      <c r="E66" s="54"/>
      <c r="F66" s="54"/>
      <c r="G66" s="54"/>
      <c r="H66" s="54"/>
      <c r="I66" s="52">
        <f t="shared" ref="I66:I81" si="2">IF(A66&lt;&gt;0,(B66-(B65-D65))/(A66-A65),"")</f>
        <v>25.6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>
        <v>45</v>
      </c>
      <c r="B67" s="63">
        <v>606</v>
      </c>
      <c r="C67" s="63">
        <v>6</v>
      </c>
      <c r="D67" s="63">
        <v>66</v>
      </c>
      <c r="E67" s="54"/>
      <c r="F67" s="54"/>
      <c r="G67" s="54"/>
      <c r="H67" s="54"/>
      <c r="I67" s="52">
        <f t="shared" si="2"/>
        <v>22.8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>
        <v>50</v>
      </c>
      <c r="B68" s="63">
        <v>629</v>
      </c>
      <c r="C68" s="63">
        <v>7</v>
      </c>
      <c r="D68" s="63">
        <v>48</v>
      </c>
      <c r="E68" s="54"/>
      <c r="F68" s="54"/>
      <c r="G68" s="54"/>
      <c r="H68" s="54"/>
      <c r="I68" s="52">
        <f t="shared" si="2"/>
        <v>17.8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>
        <v>55</v>
      </c>
      <c r="B69" s="53">
        <v>650</v>
      </c>
      <c r="C69" s="53">
        <v>8</v>
      </c>
      <c r="D69" s="53">
        <v>35</v>
      </c>
      <c r="E69" s="54"/>
      <c r="F69" s="54"/>
      <c r="G69" s="54"/>
      <c r="H69" s="54"/>
      <c r="I69" s="52">
        <f t="shared" si="2"/>
        <v>13.8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>
        <v>60</v>
      </c>
      <c r="B70" s="53">
        <v>666</v>
      </c>
      <c r="C70" s="53">
        <v>9</v>
      </c>
      <c r="D70" s="53">
        <v>666</v>
      </c>
      <c r="E70" s="54"/>
      <c r="F70" s="54"/>
      <c r="G70" s="54"/>
      <c r="H70" s="54"/>
      <c r="I70" s="52">
        <f t="shared" si="2"/>
        <v>10.199999999999999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2" sqref="G22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Cèdre de l'Atlas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>Douglas</v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173.76802753906867</v>
      </c>
      <c r="T3" s="62">
        <f>IF('Données projet'!E9&gt;30,$R$33-$H$33,LOOKUP('Données projet'!$E$9,$A$3:$A$203,R3:R203)-LOOKUP('Données projet'!$E$9,$A$3:$A$203,$H$3:$H$203))</f>
        <v>153.4527010894717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382.55387448074327</v>
      </c>
      <c r="AO3" s="62">
        <f>IF('Données projet'!E10&gt;30,$AM$33-$H$33,LOOKUP('Données projet'!$E$10,$A$3:$A$203,AM3:AM203)-LOOKUP('Données projet'!$E$10,$A$3:$A$203,$H$3:$H$203))</f>
        <v>476.29465646955543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2">
        <f>IFERROR(EXP(-1.0587+0.8836*LN(C4)+0.284),0)</f>
        <v>0.24137676049677712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70">
        <f t="shared" ref="H4:H67" si="1">(B4+E4+F4)*44/12+(C4+D4)*0.475*44/12</f>
        <v>294.5914728578652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5.75</v>
      </c>
      <c r="N4" s="14">
        <f>IF('Données projet'!$A$36&gt;35,N3+M4-V3,IF(A4&lt;'Données projet'!$A$36,$K$205^A4,IF(A4='Données projet'!$A$36,'Données projet'!$B$36,N3+M4-V3)))</f>
        <v>1.2677537154322802</v>
      </c>
      <c r="O4" s="14">
        <f>N4*VLOOKUP('Données projet'!$B$9,Paramètres!$A$1:$I$89,3,0)*VLOOKUP('Données projet'!$B$9,Paramètres!$A$1:$I$89,5,0)</f>
        <v>0.59330873882230706</v>
      </c>
      <c r="P4" s="14">
        <f>EXP(-1.0587+0.8836*LN(O4)+0.284)</f>
        <v>0.29055137246158741</v>
      </c>
      <c r="Q4" s="22">
        <f t="shared" ref="Q4:Q34" si="2">(O4+P4)*0.475*44/12</f>
        <v>1.5393896938194491</v>
      </c>
      <c r="R4" s="62">
        <f t="shared" si="0"/>
        <v>294.87272302715274</v>
      </c>
      <c r="S4" s="62">
        <f ca="1">AVERAGE(OFFSET($R$3,0,0,'Données projet'!$E$9+1,1))-AVERAGE(OFFSET($H$3,0,0,'Données projet'!$E$9+1,1))</f>
        <v>173.76802753906867</v>
      </c>
      <c r="T4" s="62">
        <f>$T$3</f>
        <v>153.4527010894717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8.526315789473685</v>
      </c>
      <c r="AI4" s="14">
        <f>IF('Données projet'!$A$62&gt;35,AI3+AH4-AQ3,IF(A4&lt;'Données projet'!$A$62,$AF$205^A4,IF(A4='Données projet'!$A$62,'Données projet'!$B$62,AI3+AH4-AQ3)))</f>
        <v>1.3070441688874561</v>
      </c>
      <c r="AJ4" s="14">
        <f>AI4*VLOOKUP('Données projet'!$B$10,Paramètres!$A$1:$I$89,3,0)*VLOOKUP('Données projet'!$B$10,Paramètres!$A$1:$I$89,5,0)</f>
        <v>0.73063769040808801</v>
      </c>
      <c r="AK4" s="14">
        <f>EXP(-1.0587+0.8836*LN(AJ4)+0.284)</f>
        <v>0.34923616900555043</v>
      </c>
      <c r="AL4" s="22">
        <f t="shared" ref="AL4:AL67" si="4">(AJ4+AK4)*0.475*44/12</f>
        <v>1.8807803051454206</v>
      </c>
      <c r="AM4" s="62">
        <f t="shared" ref="AM4:AM67" si="5">AL4+(AD4+AE4)*44/12</f>
        <v>295.21411363847875</v>
      </c>
      <c r="AN4" s="62">
        <f ca="1">AVERAGE(OFFSET($AM$3,0,0,'Données projet'!$E$10+1,1))-AVERAGE(OFFSET($H$3,0,0,'Données projet'!$E$10+1,1))</f>
        <v>382.55387448074327</v>
      </c>
      <c r="AO4" s="62">
        <f>$AO$3</f>
        <v>476.29465646955543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2">
        <f t="shared" ref="D5:D68" si="32">IFERROR(EXP(-1.0587+0.8836*LN(C5)+0.284),0)</f>
        <v>0.4453336974617329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70">
        <f t="shared" si="1"/>
        <v>295.78443952307919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5.75</v>
      </c>
      <c r="N5" s="14">
        <f>IF('Données projet'!$A$36&gt;35,N4+M5-V4,IF(A5&lt;'Données projet'!$A$36,$K$205^A5,IF(A5='Données projet'!$A$36,'Données projet'!$B$36,N4+M5-V4)))</f>
        <v>1.6071994829923508</v>
      </c>
      <c r="O5" s="14">
        <f>N5*VLOOKUP('Données projet'!$B$9,Paramètres!$A$1:$I$89,3,0)*VLOOKUP('Données projet'!$B$9,Paramètres!$A$1:$I$89,5,0)</f>
        <v>0.75216935804042018</v>
      </c>
      <c r="P5" s="14">
        <f t="shared" ref="P5:P68" si="33">EXP(-1.0587+0.8836*LN(O5)+0.284)</f>
        <v>0.35831464735172275</v>
      </c>
      <c r="Q5" s="22">
        <f t="shared" si="2"/>
        <v>1.9340929760579824</v>
      </c>
      <c r="R5" s="62">
        <f t="shared" si="0"/>
        <v>295.26742630939128</v>
      </c>
      <c r="S5" s="62">
        <f ca="1">AVERAGE(OFFSET($R$3,0,0,'Données projet'!$E$9+1,1))-AVERAGE(OFFSET($H$3,0,0,'Données projet'!$E$9+1,1))</f>
        <v>173.76802753906867</v>
      </c>
      <c r="T5" s="62">
        <f t="shared" ref="T5:T68" si="34">$T$3</f>
        <v>153.4527010894717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8.526315789473685</v>
      </c>
      <c r="AI5" s="14">
        <f>IF('Données projet'!$A$62&gt;35,AI4+AH5-AQ4,IF(A5&lt;'Données projet'!$A$62,$AF$205^A5,IF(A5='Données projet'!$A$62,'Données projet'!$B$62,AI4+AH5-AQ4)))</f>
        <v>1.708364459422701</v>
      </c>
      <c r="AJ5" s="14">
        <f>AI5*VLOOKUP('Données projet'!$B$10,Paramètres!$A$1:$I$89,3,0)*VLOOKUP('Données projet'!$B$10,Paramètres!$A$1:$I$89,5,0)</f>
        <v>0.95497573281728976</v>
      </c>
      <c r="AK5" s="14">
        <f t="shared" ref="AK5:AK68" si="35">EXP(-1.0587+0.8836*LN(AJ5)+0.284)</f>
        <v>0.44245926414263009</v>
      </c>
      <c r="AL5" s="22">
        <f t="shared" si="4"/>
        <v>2.4338659530385267</v>
      </c>
      <c r="AM5" s="62">
        <f t="shared" si="5"/>
        <v>295.76719928637186</v>
      </c>
      <c r="AN5" s="62">
        <f ca="1">AVERAGE(OFFSET($AM$3,0,0,'Données projet'!$E$10+1,1))-AVERAGE(OFFSET($H$3,0,0,'Données projet'!$E$10+1,1))</f>
        <v>382.55387448074327</v>
      </c>
      <c r="AO5" s="62">
        <f t="shared" ref="AO5:AO68" si="36">$AO$3</f>
        <v>476.29465646955543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2">
        <f t="shared" si="32"/>
        <v>0.63720590978354918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70">
        <f t="shared" si="1"/>
        <v>296.95635862620634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5.75</v>
      </c>
      <c r="N6" s="14">
        <f>IF('Données projet'!$A$36&gt;35,N5+M6-V5,IF(A6&lt;'Données projet'!$A$36,$K$205^A6,IF(A6='Données projet'!$A$36,'Données projet'!$B$36,N5+M6-V5)))</f>
        <v>2.0375331160043926</v>
      </c>
      <c r="O6" s="14">
        <f>N6*VLOOKUP('Données projet'!$B$9,Paramètres!$A$1:$I$89,3,0)*VLOOKUP('Données projet'!$B$9,Paramètres!$A$1:$I$89,5,0)</f>
        <v>0.95356549829005577</v>
      </c>
      <c r="P6" s="14">
        <f t="shared" si="33"/>
        <v>0.44188187933534279</v>
      </c>
      <c r="Q6" s="22">
        <f t="shared" si="2"/>
        <v>2.4304041826975693</v>
      </c>
      <c r="R6" s="62">
        <f t="shared" si="0"/>
        <v>295.76373751603086</v>
      </c>
      <c r="S6" s="62">
        <f ca="1">AVERAGE(OFFSET($R$3,0,0,'Données projet'!$E$9+1,1))-AVERAGE(OFFSET($H$3,0,0,'Données projet'!$E$9+1,1))</f>
        <v>173.76802753906867</v>
      </c>
      <c r="T6" s="62">
        <f t="shared" si="34"/>
        <v>153.4527010894717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8.526315789473685</v>
      </c>
      <c r="AI6" s="14">
        <f>IF('Données projet'!$A$62&gt;35,AI5+AH6-AQ5,IF(A6&lt;'Données projet'!$A$62,$AF$205^A6,IF(A6='Données projet'!$A$62,'Données projet'!$B$62,AI5+AH6-AQ5)))</f>
        <v>2.2329078050230127</v>
      </c>
      <c r="AJ6" s="14">
        <f>AI6*VLOOKUP('Données projet'!$B$10,Paramètres!$A$1:$I$89,3,0)*VLOOKUP('Données projet'!$B$10,Paramètres!$A$1:$I$89,5,0)</f>
        <v>1.248195463007864</v>
      </c>
      <c r="AK6" s="14">
        <f t="shared" si="35"/>
        <v>0.56056679634040518</v>
      </c>
      <c r="AL6" s="22">
        <f t="shared" si="4"/>
        <v>3.1502609350315693</v>
      </c>
      <c r="AM6" s="62">
        <f t="shared" si="5"/>
        <v>296.48359426836487</v>
      </c>
      <c r="AN6" s="62">
        <f ca="1">AVERAGE(OFFSET($AM$3,0,0,'Données projet'!$E$10+1,1))-AVERAGE(OFFSET($H$3,0,0,'Données projet'!$E$10+1,1))</f>
        <v>382.55387448074327</v>
      </c>
      <c r="AO6" s="62">
        <f t="shared" si="36"/>
        <v>476.29465646955543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2">
        <f t="shared" si="32"/>
        <v>0.82162881665480925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70">
        <f t="shared" si="1"/>
        <v>298.11530352234041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5.75</v>
      </c>
      <c r="N7" s="14">
        <f>IF('Données projet'!$A$36&gt;35,N6+M7-V6,IF(A7&lt;'Données projet'!$A$36,$K$205^A7,IF(A7='Données projet'!$A$36,'Données projet'!$B$36,N6+M7-V6)))</f>
        <v>2.5830901781308797</v>
      </c>
      <c r="O7" s="14">
        <f>N7*VLOOKUP('Données projet'!$B$9,Paramètres!$A$1:$I$89,3,0)*VLOOKUP('Données projet'!$B$9,Paramètres!$A$1:$I$89,5,0)</f>
        <v>1.2088862033652517</v>
      </c>
      <c r="P7" s="14">
        <f t="shared" si="33"/>
        <v>0.54493891535856476</v>
      </c>
      <c r="Q7" s="22">
        <f t="shared" si="2"/>
        <v>3.0545787484439804</v>
      </c>
      <c r="R7" s="62">
        <f t="shared" si="0"/>
        <v>296.3879120817773</v>
      </c>
      <c r="S7" s="62">
        <f ca="1">AVERAGE(OFFSET($R$3,0,0,'Données projet'!$E$9+1,1))-AVERAGE(OFFSET($H$3,0,0,'Données projet'!$E$9+1,1))</f>
        <v>173.76802753906867</v>
      </c>
      <c r="T7" s="62">
        <f t="shared" si="34"/>
        <v>153.4527010894717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8.526315789473685</v>
      </c>
      <c r="AI7" s="14">
        <f>IF('Données projet'!$A$62&gt;35,AI6+AH7-AQ6,IF(A7&lt;'Données projet'!$A$62,$AF$205^A7,IF(A7='Données projet'!$A$62,'Données projet'!$B$62,AI6+AH7-AQ6)))</f>
        <v>2.9185091262186176</v>
      </c>
      <c r="AJ7" s="14">
        <f>AI7*VLOOKUP('Données projet'!$B$10,Paramètres!$A$1:$I$89,3,0)*VLOOKUP('Données projet'!$B$10,Paramètres!$A$1:$I$89,5,0)</f>
        <v>1.6314466015562072</v>
      </c>
      <c r="AK7" s="14">
        <f t="shared" si="35"/>
        <v>0.71020127416305878</v>
      </c>
      <c r="AL7" s="22">
        <f t="shared" si="4"/>
        <v>4.0783700502110554</v>
      </c>
      <c r="AM7" s="62">
        <f t="shared" si="5"/>
        <v>297.41170338354436</v>
      </c>
      <c r="AN7" s="62">
        <f ca="1">AVERAGE(OFFSET($AM$3,0,0,'Données projet'!$E$10+1,1))-AVERAGE(OFFSET($H$3,0,0,'Données projet'!$E$10+1,1))</f>
        <v>382.55387448074327</v>
      </c>
      <c r="AO7" s="62">
        <f t="shared" si="36"/>
        <v>476.29465646955543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2">
        <f t="shared" si="32"/>
        <v>1.0007033420126812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70">
        <f t="shared" si="1"/>
        <v>299.26493332067207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5.75</v>
      </c>
      <c r="N8" s="14">
        <f>IF('Données projet'!$A$36&gt;35,N7+M8-V7,IF(A8&lt;'Données projet'!$A$36,$K$205^A8,IF(A8='Données projet'!$A$36,'Données projet'!$B$36,N7+M8-V7)))</f>
        <v>3.2747221706220535</v>
      </c>
      <c r="O8" s="14">
        <f>N8*VLOOKUP('Données projet'!$B$9,Paramètres!$A$1:$I$89,3,0)*VLOOKUP('Données projet'!$B$9,Paramètres!$A$1:$I$89,5,0)</f>
        <v>1.5325699758511209</v>
      </c>
      <c r="P8" s="14">
        <f t="shared" si="33"/>
        <v>0.67203122680395833</v>
      </c>
      <c r="Q8" s="22">
        <f t="shared" si="2"/>
        <v>3.839680427957596</v>
      </c>
      <c r="R8" s="62">
        <f t="shared" si="0"/>
        <v>297.17301376129092</v>
      </c>
      <c r="S8" s="62">
        <f ca="1">AVERAGE(OFFSET($R$3,0,0,'Données projet'!$E$9+1,1))-AVERAGE(OFFSET($H$3,0,0,'Données projet'!$E$9+1,1))</f>
        <v>173.76802753906867</v>
      </c>
      <c r="T8" s="62">
        <f t="shared" si="34"/>
        <v>153.4527010894717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8.526315789473685</v>
      </c>
      <c r="AI8" s="14">
        <f>IF('Données projet'!$A$62&gt;35,AI7+AH8-AQ7,IF(A8&lt;'Données projet'!$A$62,$AF$205^A8,IF(A8='Données projet'!$A$62,'Données projet'!$B$62,AI7+AH8-AQ7)))</f>
        <v>3.8146203352688688</v>
      </c>
      <c r="AJ8" s="14">
        <f>AI8*VLOOKUP('Données projet'!$B$10,Paramètres!$A$1:$I$89,3,0)*VLOOKUP('Données projet'!$B$10,Paramètres!$A$1:$I$89,5,0)</f>
        <v>2.1323727674152977</v>
      </c>
      <c r="AK8" s="14">
        <f t="shared" si="35"/>
        <v>0.89977831922200224</v>
      </c>
      <c r="AL8" s="22">
        <f t="shared" si="4"/>
        <v>5.2809964758932972</v>
      </c>
      <c r="AM8" s="62">
        <f t="shared" si="5"/>
        <v>298.6143298092266</v>
      </c>
      <c r="AN8" s="62">
        <f ca="1">AVERAGE(OFFSET($AM$3,0,0,'Données projet'!$E$10+1,1))-AVERAGE(OFFSET($H$3,0,0,'Données projet'!$E$10+1,1))</f>
        <v>382.55387448074327</v>
      </c>
      <c r="AO8" s="62">
        <f t="shared" si="36"/>
        <v>476.29465646955543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2">
        <f t="shared" si="32"/>
        <v>1.1756279405869494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70">
        <f t="shared" si="1"/>
        <v>300.40733532985558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5.75</v>
      </c>
      <c r="N9" s="14">
        <f>IF('Données projet'!$A$36&gt;35,N8+M9-V8,IF(A9&lt;'Données projet'!$A$36,$K$205^A9,IF(A9='Données projet'!$A$36,'Données projet'!$B$36,N8+M9-V8)))</f>
        <v>4.1515411988145692</v>
      </c>
      <c r="O9" s="14">
        <f>N9*VLOOKUP('Données projet'!$B$9,Paramètres!$A$1:$I$89,3,0)*VLOOKUP('Données projet'!$B$9,Paramètres!$A$1:$I$89,5,0)</f>
        <v>1.9429212810452183</v>
      </c>
      <c r="P9" s="14">
        <f t="shared" si="33"/>
        <v>0.82876439371643607</v>
      </c>
      <c r="Q9" s="22">
        <f t="shared" si="2"/>
        <v>4.8273525502098815</v>
      </c>
      <c r="R9" s="62">
        <f t="shared" si="0"/>
        <v>298.16068588354318</v>
      </c>
      <c r="S9" s="62">
        <f ca="1">AVERAGE(OFFSET($R$3,0,0,'Données projet'!$E$9+1,1))-AVERAGE(OFFSET($H$3,0,0,'Données projet'!$E$9+1,1))</f>
        <v>173.76802753906867</v>
      </c>
      <c r="T9" s="62">
        <f t="shared" si="34"/>
        <v>153.4527010894717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8.526315789473685</v>
      </c>
      <c r="AI9" s="14">
        <f>IF('Données projet'!$A$62&gt;35,AI8+AH9-AQ8,IF(A9&lt;'Données projet'!$A$62,$AF$205^A9,IF(A9='Données projet'!$A$62,'Données projet'!$B$62,AI8+AH9-AQ8)))</f>
        <v>4.9858772657326877</v>
      </c>
      <c r="AJ9" s="14">
        <f>AI9*VLOOKUP('Données projet'!$B$10,Paramètres!$A$1:$I$89,3,0)*VLOOKUP('Données projet'!$B$10,Paramètres!$A$1:$I$89,5,0)</f>
        <v>2.7871053915445723</v>
      </c>
      <c r="AK9" s="14">
        <f t="shared" si="35"/>
        <v>1.1399599707787778</v>
      </c>
      <c r="AL9" s="22">
        <f t="shared" si="4"/>
        <v>6.839638839379834</v>
      </c>
      <c r="AM9" s="62">
        <f t="shared" si="5"/>
        <v>300.17297217271317</v>
      </c>
      <c r="AN9" s="62">
        <f ca="1">AVERAGE(OFFSET($AM$3,0,0,'Données projet'!$E$10+1,1))-AVERAGE(OFFSET($H$3,0,0,'Données projet'!$E$10+1,1))</f>
        <v>382.55387448074327</v>
      </c>
      <c r="AO9" s="62">
        <f t="shared" si="36"/>
        <v>476.29465646955543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2">
        <f t="shared" si="32"/>
        <v>1.3471752098029792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70">
        <f t="shared" si="1"/>
        <v>301.54385515707349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5.75</v>
      </c>
      <c r="N10" s="14">
        <f>IF('Données projet'!$A$36&gt;35,N9+M10-V9,IF(A10&lt;'Données projet'!$A$36,$K$205^A10,IF(A10='Données projet'!$A$36,'Données projet'!$B$36,N9+M10-V9)))</f>
        <v>5.2631317795673525</v>
      </c>
      <c r="O10" s="14">
        <f>N10*VLOOKUP('Données projet'!$B$9,Paramètres!$A$1:$I$89,3,0)*VLOOKUP('Données projet'!$B$9,Paramètres!$A$1:$I$89,5,0)</f>
        <v>2.4631456728375212</v>
      </c>
      <c r="P10" s="14">
        <f t="shared" si="33"/>
        <v>1.0220513465701448</v>
      </c>
      <c r="Q10" s="22">
        <f t="shared" si="2"/>
        <v>6.0700514754683512</v>
      </c>
      <c r="R10" s="62">
        <f t="shared" si="0"/>
        <v>299.40338480880166</v>
      </c>
      <c r="S10" s="62">
        <f ca="1">AVERAGE(OFFSET($R$3,0,0,'Données projet'!$E$9+1,1))-AVERAGE(OFFSET($H$3,0,0,'Données projet'!$E$9+1,1))</f>
        <v>173.76802753906867</v>
      </c>
      <c r="T10" s="62">
        <f t="shared" si="34"/>
        <v>153.4527010894717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8.526315789473685</v>
      </c>
      <c r="AI10" s="14">
        <f>IF('Données projet'!$A$62&gt;35,AI9+AH10-AQ9,IF(A10&lt;'Données projet'!$A$62,$AF$205^A10,IF(A10='Données projet'!$A$62,'Données projet'!$B$62,AI9+AH10-AQ9)))</f>
        <v>6.5167618069644444</v>
      </c>
      <c r="AJ10" s="14">
        <f>AI10*VLOOKUP('Données projet'!$B$10,Paramètres!$A$1:$I$89,3,0)*VLOOKUP('Données projet'!$B$10,Paramètres!$A$1:$I$89,5,0)</f>
        <v>3.6428698500931249</v>
      </c>
      <c r="AK10" s="14">
        <f t="shared" si="35"/>
        <v>1.4442543315575544</v>
      </c>
      <c r="AL10" s="22">
        <f t="shared" si="4"/>
        <v>8.8600746163749324</v>
      </c>
      <c r="AM10" s="62">
        <f t="shared" si="5"/>
        <v>302.19340794970827</v>
      </c>
      <c r="AN10" s="62">
        <f ca="1">AVERAGE(OFFSET($AM$3,0,0,'Données projet'!$E$10+1,1))-AVERAGE(OFFSET($H$3,0,0,'Données projet'!$E$10+1,1))</f>
        <v>382.55387448074327</v>
      </c>
      <c r="AO10" s="62">
        <f t="shared" si="36"/>
        <v>476.29465646955543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2">
        <f t="shared" si="32"/>
        <v>1.5158832942696652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70">
        <f t="shared" si="1"/>
        <v>302.675430070853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5.75</v>
      </c>
      <c r="N11" s="14">
        <f>IF('Données projet'!$A$36&gt;35,N10+M11-V10,IF(A11&lt;'Données projet'!$A$36,$K$205^A11,IF(A11='Données projet'!$A$36,'Données projet'!$B$36,N10+M11-V10)))</f>
        <v>6.6723548683562202</v>
      </c>
      <c r="O11" s="14">
        <f>N11*VLOOKUP('Données projet'!$B$9,Paramètres!$A$1:$I$89,3,0)*VLOOKUP('Données projet'!$B$9,Paramètres!$A$1:$I$89,5,0)</f>
        <v>3.1226620783907113</v>
      </c>
      <c r="P11" s="14">
        <f t="shared" si="33"/>
        <v>1.2604172705122936</v>
      </c>
      <c r="Q11" s="22">
        <f t="shared" si="2"/>
        <v>7.6338631993393991</v>
      </c>
      <c r="R11" s="62">
        <f t="shared" si="0"/>
        <v>300.96719653267269</v>
      </c>
      <c r="S11" s="62">
        <f ca="1">AVERAGE(OFFSET($R$3,0,0,'Données projet'!$E$9+1,1))-AVERAGE(OFFSET($H$3,0,0,'Données projet'!$E$9+1,1))</f>
        <v>173.76802753906867</v>
      </c>
      <c r="T11" s="62">
        <f t="shared" si="34"/>
        <v>153.4527010894717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8.526315789473685</v>
      </c>
      <c r="AI11" s="14">
        <f>IF('Données projet'!$A$62&gt;35,AI10+AH11-AQ10,IF(A11&lt;'Données projet'!$A$62,$AF$205^A11,IF(A11='Données projet'!$A$62,'Données projet'!$B$62,AI10+AH11-AQ10)))</f>
        <v>8.5176955198213591</v>
      </c>
      <c r="AJ11" s="14">
        <f>AI11*VLOOKUP('Données projet'!$B$10,Paramètres!$A$1:$I$89,3,0)*VLOOKUP('Données projet'!$B$10,Paramètres!$A$1:$I$89,5,0)</f>
        <v>4.7613917955801393</v>
      </c>
      <c r="AK11" s="14">
        <f t="shared" si="35"/>
        <v>1.8297752795633417</v>
      </c>
      <c r="AL11" s="22">
        <f t="shared" si="4"/>
        <v>11.479615989208229</v>
      </c>
      <c r="AM11" s="62">
        <f t="shared" si="5"/>
        <v>304.81294932254156</v>
      </c>
      <c r="AN11" s="62">
        <f ca="1">AVERAGE(OFFSET($AM$3,0,0,'Données projet'!$E$10+1,1))-AVERAGE(OFFSET($H$3,0,0,'Données projet'!$E$10+1,1))</f>
        <v>382.55387448074327</v>
      </c>
      <c r="AO11" s="62">
        <f t="shared" si="36"/>
        <v>476.29465646955543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2">
        <f t="shared" si="32"/>
        <v>1.6821477371202938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70">
        <f t="shared" si="1"/>
        <v>303.80274897548452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5.75</v>
      </c>
      <c r="N12" s="14">
        <f>IF('Données projet'!$A$36&gt;35,N11+M12-V11,IF(A12&lt;'Données projet'!$A$36,$K$205^A12,IF(A12='Données projet'!$A$36,'Données projet'!$B$36,N11+M12-V11)))</f>
        <v>8.4589026750412604</v>
      </c>
      <c r="O12" s="14">
        <f>N12*VLOOKUP('Données projet'!$B$9,Paramètres!$A$1:$I$89,3,0)*VLOOKUP('Données projet'!$B$9,Paramètres!$A$1:$I$89,5,0)</f>
        <v>3.9587664519193098</v>
      </c>
      <c r="P12" s="14">
        <f t="shared" si="33"/>
        <v>1.5543756203021926</v>
      </c>
      <c r="Q12" s="22">
        <f t="shared" si="2"/>
        <v>9.6020557757857823</v>
      </c>
      <c r="R12" s="62">
        <f t="shared" si="0"/>
        <v>302.93538910911911</v>
      </c>
      <c r="S12" s="62">
        <f ca="1">AVERAGE(OFFSET($R$3,0,0,'Données projet'!$E$9+1,1))-AVERAGE(OFFSET($H$3,0,0,'Données projet'!$E$9+1,1))</f>
        <v>173.76802753906867</v>
      </c>
      <c r="T12" s="62">
        <f t="shared" si="34"/>
        <v>153.4527010894717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8.526315789473685</v>
      </c>
      <c r="AI12" s="14">
        <f>IF('Données projet'!$A$62&gt;35,AI11+AH12-AQ11,IF(A12&lt;'Données projet'!$A$62,$AF$205^A12,IF(A12='Données projet'!$A$62,'Données projet'!$B$62,AI11+AH12-AQ11)))</f>
        <v>11.133004261541316</v>
      </c>
      <c r="AJ12" s="14">
        <f>AI12*VLOOKUP('Données projet'!$B$10,Paramètres!$A$1:$I$89,3,0)*VLOOKUP('Données projet'!$B$10,Paramètres!$A$1:$I$89,5,0)</f>
        <v>6.2233493822015964</v>
      </c>
      <c r="AK12" s="14">
        <f t="shared" si="35"/>
        <v>2.3182049730052579</v>
      </c>
      <c r="AL12" s="22">
        <f t="shared" si="4"/>
        <v>14.87654050198527</v>
      </c>
      <c r="AM12" s="62">
        <f t="shared" si="5"/>
        <v>308.2098738353186</v>
      </c>
      <c r="AN12" s="62">
        <f ca="1">AVERAGE(OFFSET($AM$3,0,0,'Données projet'!$E$10+1,1))-AVERAGE(OFFSET($H$3,0,0,'Données projet'!$E$10+1,1))</f>
        <v>382.55387448074327</v>
      </c>
      <c r="AO12" s="62">
        <f t="shared" si="36"/>
        <v>476.29465646955543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2">
        <f t="shared" si="32"/>
        <v>1.8462710264386484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70">
        <f t="shared" si="1"/>
        <v>304.92633870438061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5.75</v>
      </c>
      <c r="N13" s="14">
        <f>IF('Données projet'!$A$36&gt;35,N12+M13-V12,IF(A13&lt;'Données projet'!$A$36,$K$205^A13,IF(A13='Données projet'!$A$36,'Données projet'!$B$36,N12+M13-V12)))</f>
        <v>10.723805294763611</v>
      </c>
      <c r="O13" s="14">
        <f>N13*VLOOKUP('Données projet'!$B$9,Paramètres!$A$1:$I$89,3,0)*VLOOKUP('Données projet'!$B$9,Paramètres!$A$1:$I$89,5,0)</f>
        <v>5.0187408779493703</v>
      </c>
      <c r="P13" s="14">
        <f t="shared" si="33"/>
        <v>1.9168918305981435</v>
      </c>
      <c r="Q13" s="22">
        <f t="shared" si="2"/>
        <v>12.079560300720253</v>
      </c>
      <c r="R13" s="62">
        <f t="shared" si="0"/>
        <v>305.41289363405355</v>
      </c>
      <c r="S13" s="62">
        <f ca="1">AVERAGE(OFFSET($R$3,0,0,'Données projet'!$E$9+1,1))-AVERAGE(OFFSET($H$3,0,0,'Données projet'!$E$9+1,1))</f>
        <v>173.76802753906867</v>
      </c>
      <c r="T13" s="62">
        <f t="shared" si="34"/>
        <v>153.4527010894717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8.526315789473685</v>
      </c>
      <c r="AI13" s="14">
        <f>IF('Données projet'!$A$62&gt;35,AI12+AH13-AQ12,IF(A13&lt;'Données projet'!$A$62,$AF$205^A13,IF(A13='Données projet'!$A$62,'Données projet'!$B$62,AI12+AH13-AQ12)))</f>
        <v>14.551328302246779</v>
      </c>
      <c r="AJ13" s="14">
        <f>AI13*VLOOKUP('Données projet'!$B$10,Paramètres!$A$1:$I$89,3,0)*VLOOKUP('Données projet'!$B$10,Paramètres!$A$1:$I$89,5,0)</f>
        <v>8.1341925209559491</v>
      </c>
      <c r="AK13" s="14">
        <f t="shared" si="35"/>
        <v>2.9370132807503975</v>
      </c>
      <c r="AL13" s="22">
        <f t="shared" si="4"/>
        <v>19.282350104638549</v>
      </c>
      <c r="AM13" s="62">
        <f t="shared" si="5"/>
        <v>312.61568343797188</v>
      </c>
      <c r="AN13" s="62">
        <f ca="1">AVERAGE(OFFSET($AM$3,0,0,'Données projet'!$E$10+1,1))-AVERAGE(OFFSET($H$3,0,0,'Données projet'!$E$10+1,1))</f>
        <v>382.55387448074327</v>
      </c>
      <c r="AO13" s="62">
        <f t="shared" si="36"/>
        <v>476.29465646955543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2">
        <f t="shared" si="32"/>
        <v>2.0084916518563651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70">
        <f t="shared" si="1"/>
        <v>306.04661462698317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5.75</v>
      </c>
      <c r="N14" s="14">
        <f>IF('Données projet'!$A$36&gt;35,N13+M14-V13,IF(A14&lt;'Données projet'!$A$36,$K$205^A14,IF(A14='Données projet'!$A$36,'Données projet'!$B$36,N13+M14-V13)))</f>
        <v>13.595144006008928</v>
      </c>
      <c r="O14" s="14">
        <f>N14*VLOOKUP('Données projet'!$B$9,Paramètres!$A$1:$I$89,3,0)*VLOOKUP('Données projet'!$B$9,Paramètres!$A$1:$I$89,5,0)</f>
        <v>6.3625273948121777</v>
      </c>
      <c r="P14" s="14">
        <f t="shared" si="33"/>
        <v>2.3639551741679612</v>
      </c>
      <c r="Q14" s="22">
        <f t="shared" si="2"/>
        <v>15.198623807640407</v>
      </c>
      <c r="R14" s="62">
        <f t="shared" si="0"/>
        <v>308.5319571409737</v>
      </c>
      <c r="S14" s="62">
        <f ca="1">AVERAGE(OFFSET($R$3,0,0,'Données projet'!$E$9+1,1))-AVERAGE(OFFSET($H$3,0,0,'Données projet'!$E$9+1,1))</f>
        <v>173.76802753906867</v>
      </c>
      <c r="T14" s="62">
        <f t="shared" si="34"/>
        <v>153.4527010894717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8.526315789473685</v>
      </c>
      <c r="AI14" s="14">
        <f>IF('Données projet'!$A$62&gt;35,AI13+AH14-AQ13,IF(A14&lt;'Données projet'!$A$62,$AF$205^A14,IF(A14='Données projet'!$A$62,'Données projet'!$B$62,AI13+AH14-AQ13)))</f>
        <v>19.01922880701866</v>
      </c>
      <c r="AJ14" s="14">
        <f>AI14*VLOOKUP('Données projet'!$B$10,Paramètres!$A$1:$I$89,3,0)*VLOOKUP('Données projet'!$B$10,Paramètres!$A$1:$I$89,5,0)</f>
        <v>10.631748903123432</v>
      </c>
      <c r="AK14" s="14">
        <f t="shared" si="35"/>
        <v>3.7210027205323613</v>
      </c>
      <c r="AL14" s="22">
        <f t="shared" si="4"/>
        <v>24.997709077867171</v>
      </c>
      <c r="AM14" s="62">
        <f t="shared" si="5"/>
        <v>318.33104241120049</v>
      </c>
      <c r="AN14" s="62">
        <f ca="1">AVERAGE(OFFSET($AM$3,0,0,'Données projet'!$E$10+1,1))-AVERAGE(OFFSET($H$3,0,0,'Données projet'!$E$10+1,1))</f>
        <v>382.55387448074327</v>
      </c>
      <c r="AO14" s="62">
        <f t="shared" si="36"/>
        <v>476.29465646955543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2">
        <f t="shared" si="32"/>
        <v>2.1690022541664664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70">
        <f t="shared" si="1"/>
        <v>307.1639122593399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5.75</v>
      </c>
      <c r="N15" s="14">
        <f>IF('Données projet'!$A$36&gt;35,N14+M15-V14,IF(A15&lt;'Données projet'!$A$36,$K$205^A15,IF(A15='Données projet'!$A$36,'Données projet'!$B$36,N14+M15-V14)))</f>
        <v>17.23529432545471</v>
      </c>
      <c r="O15" s="14">
        <f>N15*VLOOKUP('Données projet'!$B$9,Paramètres!$A$1:$I$89,3,0)*VLOOKUP('Données projet'!$B$9,Paramètres!$A$1:$I$89,5,0)</f>
        <v>8.0661177443128054</v>
      </c>
      <c r="P15" s="14">
        <f t="shared" si="33"/>
        <v>2.915283990610841</v>
      </c>
      <c r="Q15" s="22">
        <f t="shared" si="2"/>
        <v>19.125941354992019</v>
      </c>
      <c r="R15" s="62">
        <f t="shared" si="0"/>
        <v>312.45927468832531</v>
      </c>
      <c r="S15" s="62">
        <f ca="1">AVERAGE(OFFSET($R$3,0,0,'Données projet'!$E$9+1,1))-AVERAGE(OFFSET($H$3,0,0,'Données projet'!$E$9+1,1))</f>
        <v>173.76802753906867</v>
      </c>
      <c r="T15" s="62">
        <f t="shared" si="34"/>
        <v>153.4527010894717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8.526315789473685</v>
      </c>
      <c r="AI15" s="14">
        <f>IF('Données projet'!$A$62&gt;35,AI14+AH15-AQ14,IF(A15&lt;'Données projet'!$A$62,$AF$205^A15,IF(A15='Données projet'!$A$62,'Données projet'!$B$62,AI14+AH15-AQ14)))</f>
        <v>24.85897210895007</v>
      </c>
      <c r="AJ15" s="14">
        <f>AI15*VLOOKUP('Données projet'!$B$10,Paramètres!$A$1:$I$89,3,0)*VLOOKUP('Données projet'!$B$10,Paramètres!$A$1:$I$89,5,0)</f>
        <v>13.896165408903089</v>
      </c>
      <c r="AK15" s="14">
        <f t="shared" si="35"/>
        <v>4.7142657940830492</v>
      </c>
      <c r="AL15" s="22">
        <f t="shared" si="4"/>
        <v>32.413167678534187</v>
      </c>
      <c r="AM15" s="62">
        <f t="shared" si="5"/>
        <v>325.74650101186751</v>
      </c>
      <c r="AN15" s="62">
        <f ca="1">AVERAGE(OFFSET($AM$3,0,0,'Données projet'!$E$10+1,1))-AVERAGE(OFFSET($H$3,0,0,'Données projet'!$E$10+1,1))</f>
        <v>382.55387448074327</v>
      </c>
      <c r="AO15" s="62">
        <f t="shared" si="36"/>
        <v>476.29465646955543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2">
        <f t="shared" si="32"/>
        <v>2.3279615364980017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70">
        <f t="shared" si="1"/>
        <v>308.27850800940064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5.75</v>
      </c>
      <c r="N16" s="14">
        <f>IF('Données projet'!$A$36&gt;35,N15+M16-V15,IF(A16&lt;'Données projet'!$A$36,$K$205^A16,IF(A16='Données projet'!$A$36,'Données projet'!$B$36,N15+M16-V15)))</f>
        <v>21.850108417664106</v>
      </c>
      <c r="O16" s="14">
        <f>N16*VLOOKUP('Données projet'!$B$9,Paramètres!$A$1:$I$89,3,0)*VLOOKUP('Données projet'!$B$9,Paramètres!$A$1:$I$89,5,0)</f>
        <v>10.225850739466802</v>
      </c>
      <c r="P16" s="14">
        <f t="shared" si="33"/>
        <v>3.5951953906669201</v>
      </c>
      <c r="Q16" s="22">
        <f t="shared" si="2"/>
        <v>24.071655343316234</v>
      </c>
      <c r="R16" s="62">
        <f t="shared" si="0"/>
        <v>317.40498867664957</v>
      </c>
      <c r="S16" s="62">
        <f ca="1">AVERAGE(OFFSET($R$3,0,0,'Données projet'!$E$9+1,1))-AVERAGE(OFFSET($H$3,0,0,'Données projet'!$E$9+1,1))</f>
        <v>173.76802753906867</v>
      </c>
      <c r="T16" s="62">
        <f t="shared" si="34"/>
        <v>153.4527010894717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8.526315789473685</v>
      </c>
      <c r="AI16" s="14">
        <f>IF('Données projet'!$A$62&gt;35,AI15+AH16-AQ15,IF(A16&lt;'Données projet'!$A$62,$AF$205^A16,IF(A16='Données projet'!$A$62,'Données projet'!$B$62,AI15+AH16-AQ15)))</f>
        <v>32.491774539539094</v>
      </c>
      <c r="AJ16" s="14">
        <f>AI16*VLOOKUP('Données projet'!$B$10,Paramètres!$A$1:$I$89,3,0)*VLOOKUP('Données projet'!$B$10,Paramètres!$A$1:$I$89,5,0)</f>
        <v>18.162901967602355</v>
      </c>
      <c r="AK16" s="14">
        <f t="shared" si="35"/>
        <v>5.9726648020514927</v>
      </c>
      <c r="AL16" s="22">
        <f t="shared" si="4"/>
        <v>42.036112123813787</v>
      </c>
      <c r="AM16" s="62">
        <f t="shared" si="5"/>
        <v>335.36944545714709</v>
      </c>
      <c r="AN16" s="62">
        <f ca="1">AVERAGE(OFFSET($AM$3,0,0,'Données projet'!$E$10+1,1))-AVERAGE(OFFSET($H$3,0,0,'Données projet'!$E$10+1,1))</f>
        <v>382.55387448074327</v>
      </c>
      <c r="AO16" s="62">
        <f t="shared" si="36"/>
        <v>476.29465646955543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2">
        <f t="shared" si="32"/>
        <v>2.4855023991357164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70">
        <f t="shared" si="1"/>
        <v>309.39063334516135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5.75</v>
      </c>
      <c r="N17" s="14">
        <f>IF('Données projet'!$A$36&gt;35,N16+M17-V16,IF(A17&lt;'Données projet'!$A$36,$K$205^A17,IF(A17='Données projet'!$A$36,'Données projet'!$B$36,N16+M17-V16)))</f>
        <v>27.700556129091808</v>
      </c>
      <c r="O17" s="14">
        <f>N17*VLOOKUP('Données projet'!$B$9,Paramètres!$A$1:$I$89,3,0)*VLOOKUP('Données projet'!$B$9,Paramètres!$A$1:$I$89,5,0)</f>
        <v>12.963860268414967</v>
      </c>
      <c r="P17" s="14">
        <f t="shared" si="33"/>
        <v>4.4336777956113931</v>
      </c>
      <c r="Q17" s="22">
        <f t="shared" si="2"/>
        <v>30.300712128179242</v>
      </c>
      <c r="R17" s="62">
        <f t="shared" si="0"/>
        <v>323.63404546151253</v>
      </c>
      <c r="S17" s="62">
        <f ca="1">AVERAGE(OFFSET($R$3,0,0,'Données projet'!$E$9+1,1))-AVERAGE(OFFSET($H$3,0,0,'Données projet'!$E$9+1,1))</f>
        <v>173.76802753906867</v>
      </c>
      <c r="T17" s="62">
        <f t="shared" si="34"/>
        <v>153.4527010894717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8.526315789473685</v>
      </c>
      <c r="AI17" s="14">
        <f>IF('Données projet'!$A$62&gt;35,AI16+AH17-AQ16,IF(A17&lt;'Données projet'!$A$62,$AF$205^A17,IF(A17='Données projet'!$A$62,'Données projet'!$B$62,AI16+AH17-AQ16)))</f>
        <v>42.468184448710481</v>
      </c>
      <c r="AJ17" s="14">
        <f>AI17*VLOOKUP('Données projet'!$B$10,Paramètres!$A$1:$I$89,3,0)*VLOOKUP('Données projet'!$B$10,Paramètres!$A$1:$I$89,5,0)</f>
        <v>23.739715106829159</v>
      </c>
      <c r="AK17" s="14">
        <f t="shared" si="35"/>
        <v>7.5669736064602473</v>
      </c>
      <c r="AL17" s="22">
        <f t="shared" si="4"/>
        <v>54.525816175645708</v>
      </c>
      <c r="AM17" s="62">
        <f t="shared" si="5"/>
        <v>347.85914950897904</v>
      </c>
      <c r="AN17" s="62">
        <f ca="1">AVERAGE(OFFSET($AM$3,0,0,'Données projet'!$E$10+1,1))-AVERAGE(OFFSET($H$3,0,0,'Données projet'!$E$10+1,1))</f>
        <v>382.55387448074327</v>
      </c>
      <c r="AO17" s="62">
        <f t="shared" si="36"/>
        <v>476.29465646955543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2">
        <f t="shared" si="32"/>
        <v>2.6417376807869739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70">
        <f t="shared" si="1"/>
        <v>310.50048479403728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5.75</v>
      </c>
      <c r="N18" s="14">
        <f>IF('Données projet'!$A$36&gt;35,N17+M18-V17,IF(A18&lt;'Données projet'!$A$36,$K$205^A18,IF(A18='Données projet'!$A$36,'Données projet'!$B$36,N17+M18-V17)))</f>
        <v>35.117482952196561</v>
      </c>
      <c r="O18" s="14">
        <f>N18*VLOOKUP('Données projet'!$B$9,Paramètres!$A$1:$I$89,3,0)*VLOOKUP('Données projet'!$B$9,Paramètres!$A$1:$I$89,5,0)</f>
        <v>16.434982021627992</v>
      </c>
      <c r="P18" s="14">
        <f t="shared" si="33"/>
        <v>5.4677136175486121</v>
      </c>
      <c r="Q18" s="22">
        <f t="shared" si="2"/>
        <v>38.147194904899251</v>
      </c>
      <c r="R18" s="62">
        <f t="shared" si="0"/>
        <v>331.48052823823258</v>
      </c>
      <c r="S18" s="62">
        <f ca="1">AVERAGE(OFFSET($R$3,0,0,'Données projet'!$E$9+1,1))-AVERAGE(OFFSET($H$3,0,0,'Données projet'!$E$9+1,1))</f>
        <v>173.76802753906867</v>
      </c>
      <c r="T18" s="62">
        <f t="shared" si="34"/>
        <v>153.4527010894717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8.526315789473685</v>
      </c>
      <c r="AI18" s="14">
        <f>IF('Données projet'!$A$62&gt;35,AI17+AH18-AQ17,IF(A18&lt;'Données projet'!$A$62,$AF$205^A18,IF(A18='Données projet'!$A$62,'Données projet'!$B$62,AI17+AH18-AQ17)))</f>
        <v>55.507792846923991</v>
      </c>
      <c r="AJ18" s="14">
        <f>AI18*VLOOKUP('Données projet'!$B$10,Paramètres!$A$1:$I$89,3,0)*VLOOKUP('Données projet'!$B$10,Paramètres!$A$1:$I$89,5,0)</f>
        <v>31.028856201430514</v>
      </c>
      <c r="AK18" s="14">
        <f t="shared" si="35"/>
        <v>9.5868580371693835</v>
      </c>
      <c r="AL18" s="22">
        <f t="shared" si="4"/>
        <v>70.739035632228152</v>
      </c>
      <c r="AM18" s="62">
        <f t="shared" si="5"/>
        <v>364.07236896556145</v>
      </c>
      <c r="AN18" s="62">
        <f ca="1">AVERAGE(OFFSET($AM$3,0,0,'Données projet'!$E$10+1,1))-AVERAGE(OFFSET($H$3,0,0,'Données projet'!$E$10+1,1))</f>
        <v>382.55387448074327</v>
      </c>
      <c r="AO18" s="62">
        <f t="shared" si="36"/>
        <v>476.29465646955543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2">
        <f t="shared" si="32"/>
        <v>2.7967643238239419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70">
        <f t="shared" si="1"/>
        <v>311.60823119732669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5.75</v>
      </c>
      <c r="N19" s="14">
        <f>IF('Données projet'!$A$36&gt;35,N18+M19-V18,IF(A19&lt;'Données projet'!$A$36,$K$205^A19,IF(A19='Données projet'!$A$36,'Données projet'!$B$36,N18+M19-V18)))</f>
        <v>44.52031948927695</v>
      </c>
      <c r="O19" s="14">
        <f>N19*VLOOKUP('Données projet'!$B$9,Paramètres!$A$1:$I$89,3,0)*VLOOKUP('Données projet'!$B$9,Paramètres!$A$1:$I$89,5,0)</f>
        <v>20.835509520981613</v>
      </c>
      <c r="P19" s="14">
        <f t="shared" si="33"/>
        <v>6.7429104192276883</v>
      </c>
      <c r="Q19" s="22">
        <f t="shared" si="2"/>
        <v>48.03241472919786</v>
      </c>
      <c r="R19" s="62">
        <f t="shared" si="0"/>
        <v>341.36574806253117</v>
      </c>
      <c r="S19" s="62">
        <f ca="1">AVERAGE(OFFSET($R$3,0,0,'Données projet'!$E$9+1,1))-AVERAGE(OFFSET($H$3,0,0,'Données projet'!$E$9+1,1))</f>
        <v>173.76802753906867</v>
      </c>
      <c r="T19" s="62">
        <f t="shared" si="34"/>
        <v>153.4527010894717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8.526315789473685</v>
      </c>
      <c r="AI19" s="14">
        <f>IF('Données projet'!$A$62&gt;35,AI18+AH19-AQ18,IF(A19&lt;'Données projet'!$A$62,$AF$205^A19,IF(A19='Données projet'!$A$62,'Données projet'!$B$62,AI18+AH19-AQ18)))</f>
        <v>72.551136968384853</v>
      </c>
      <c r="AJ19" s="14">
        <f>AI19*VLOOKUP('Données projet'!$B$10,Paramètres!$A$1:$I$89,3,0)*VLOOKUP('Données projet'!$B$10,Paramètres!$A$1:$I$89,5,0)</f>
        <v>40.55608556532713</v>
      </c>
      <c r="AK19" s="14">
        <f t="shared" si="35"/>
        <v>12.145918805157919</v>
      </c>
      <c r="AL19" s="22">
        <f t="shared" si="4"/>
        <v>91.78932427859479</v>
      </c>
      <c r="AM19" s="62">
        <f t="shared" si="5"/>
        <v>385.1226576119281</v>
      </c>
      <c r="AN19" s="62">
        <f ca="1">AVERAGE(OFFSET($AM$3,0,0,'Données projet'!$E$10+1,1))-AVERAGE(OFFSET($H$3,0,0,'Données projet'!$E$10+1,1))</f>
        <v>382.55387448074327</v>
      </c>
      <c r="AO19" s="62">
        <f t="shared" si="36"/>
        <v>476.29465646955543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2">
        <f t="shared" si="32"/>
        <v>2.9506664679221988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70">
        <f t="shared" si="1"/>
        <v>312.7140190982978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5.75</v>
      </c>
      <c r="N20" s="14">
        <f>IF('Données projet'!$A$36&gt;35,N19+M20-V19,IF(A20&lt;'Données projet'!$A$36,$K$205^A20,IF(A20='Données projet'!$A$36,'Données projet'!$B$36,N19+M20-V19)))</f>
        <v>56.440800444763006</v>
      </c>
      <c r="O20" s="14">
        <f>N20*VLOOKUP('Données projet'!$B$9,Paramètres!$A$1:$I$89,3,0)*VLOOKUP('Données projet'!$B$9,Paramètres!$A$1:$I$89,5,0)</f>
        <v>26.414294608149088</v>
      </c>
      <c r="P20" s="14">
        <f t="shared" si="33"/>
        <v>8.3155124979120405</v>
      </c>
      <c r="Q20" s="22">
        <f t="shared" si="2"/>
        <v>60.487747376389791</v>
      </c>
      <c r="R20" s="62">
        <f t="shared" si="0"/>
        <v>353.82108070972311</v>
      </c>
      <c r="S20" s="62">
        <f ca="1">AVERAGE(OFFSET($R$3,0,0,'Données projet'!$E$9+1,1))-AVERAGE(OFFSET($H$3,0,0,'Données projet'!$E$9+1,1))</f>
        <v>173.76802753906867</v>
      </c>
      <c r="T20" s="62">
        <f t="shared" si="34"/>
        <v>153.4527010894717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8.526315789473685</v>
      </c>
      <c r="AI20" s="14">
        <f>IF('Données projet'!$A$62&gt;35,AI19+AH20-AQ19,IF(A20&lt;'Données projet'!$A$62,$AF$205^A20,IF(A20='Données projet'!$A$62,'Données projet'!$B$62,AI19+AH20-AQ19)))</f>
        <v>94.827540520682575</v>
      </c>
      <c r="AJ20" s="14">
        <f>AI20*VLOOKUP('Données projet'!$B$10,Paramètres!$A$1:$I$89,3,0)*VLOOKUP('Données projet'!$B$10,Paramètres!$A$1:$I$89,5,0)</f>
        <v>53.008595151061563</v>
      </c>
      <c r="AK20" s="14">
        <f t="shared" si="35"/>
        <v>15.388080542084102</v>
      </c>
      <c r="AL20" s="22">
        <f t="shared" si="4"/>
        <v>119.12421016556203</v>
      </c>
      <c r="AM20" s="62">
        <f t="shared" si="5"/>
        <v>412.45754349889535</v>
      </c>
      <c r="AN20" s="62">
        <f ca="1">AVERAGE(OFFSET($AM$3,0,0,'Données projet'!$E$10+1,1))-AVERAGE(OFFSET($H$3,0,0,'Données projet'!$E$10+1,1))</f>
        <v>382.55387448074327</v>
      </c>
      <c r="AO20" s="62">
        <f t="shared" si="36"/>
        <v>476.29465646955543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2">
        <f t="shared" si="32"/>
        <v>3.1035177947823605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70">
        <f t="shared" si="1"/>
        <v>313.81797682591258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5.75</v>
      </c>
      <c r="N21" s="14">
        <f>IF('Données projet'!$A$36&gt;35,N20+M21-V20,IF(A21&lt;'Données projet'!$A$36,$K$205^A21,IF(A21='Données projet'!$A$36,'Données projet'!$B$36,N20+M21-V20)))</f>
        <v>71.55303446582019</v>
      </c>
      <c r="O21" s="14">
        <f>N21*VLOOKUP('Données projet'!$B$9,Paramètres!$A$1:$I$89,3,0)*VLOOKUP('Données projet'!$B$9,Paramètres!$A$1:$I$89,5,0)</f>
        <v>33.486820130003849</v>
      </c>
      <c r="P21" s="14">
        <f t="shared" si="33"/>
        <v>10.254881616957807</v>
      </c>
      <c r="Q21" s="22">
        <f t="shared" si="2"/>
        <v>76.183463875958196</v>
      </c>
      <c r="R21" s="62">
        <f t="shared" si="0"/>
        <v>369.5167972092915</v>
      </c>
      <c r="S21" s="62">
        <f ca="1">AVERAGE(OFFSET($R$3,0,0,'Données projet'!$E$9+1,1))-AVERAGE(OFFSET($H$3,0,0,'Données projet'!$E$9+1,1))</f>
        <v>173.76802753906867</v>
      </c>
      <c r="T21" s="62">
        <f t="shared" si="34"/>
        <v>153.4527010894717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8.526315789473685</v>
      </c>
      <c r="AI21" s="14">
        <f>IF('Données projet'!$A$62&gt;35,AI20+AH21-AQ20,IF(A21&lt;'Données projet'!$A$62,$AF$205^A21,IF(A21='Données projet'!$A$62,'Données projet'!$B$62,AI20+AH21-AQ20)))</f>
        <v>123.94378388749713</v>
      </c>
      <c r="AJ21" s="14">
        <f>AI21*VLOOKUP('Données projet'!$B$10,Paramètres!$A$1:$I$89,3,0)*VLOOKUP('Données projet'!$B$10,Paramètres!$A$1:$I$89,5,0)</f>
        <v>69.284575193110896</v>
      </c>
      <c r="AK21" s="14">
        <f t="shared" si="35"/>
        <v>19.495686293334202</v>
      </c>
      <c r="AL21" s="22">
        <f t="shared" si="4"/>
        <v>154.62562208889187</v>
      </c>
      <c r="AM21" s="62">
        <f t="shared" si="5"/>
        <v>447.95895542222519</v>
      </c>
      <c r="AN21" s="62">
        <f ca="1">AVERAGE(OFFSET($AM$3,0,0,'Données projet'!$E$10+1,1))-AVERAGE(OFFSET($H$3,0,0,'Données projet'!$E$10+1,1))</f>
        <v>382.55387448074327</v>
      </c>
      <c r="AO21" s="62">
        <f t="shared" si="36"/>
        <v>476.29465646955543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2">
        <f t="shared" si="32"/>
        <v>3.2553833368644418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70">
        <f t="shared" si="1"/>
        <v>314.92021764503886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5.75</v>
      </c>
      <c r="N22" s="14">
        <f>IF('Données projet'!$A$36&gt;35,N21+M22-V21,IF(A22&lt;'Données projet'!$A$36,$K$205^A22,IF(A22='Données projet'!$A$36,'Données projet'!$B$36,N21+M22-V21)))</f>
        <v>90.711625294497551</v>
      </c>
      <c r="O22" s="14">
        <f>N22*VLOOKUP('Données projet'!$B$9,Paramètres!$A$1:$I$89,3,0)*VLOOKUP('Données projet'!$B$9,Paramètres!$A$1:$I$89,5,0)</f>
        <v>42.453040637824856</v>
      </c>
      <c r="P22" s="14">
        <f t="shared" si="33"/>
        <v>12.646556301156998</v>
      </c>
      <c r="Q22" s="22">
        <f t="shared" si="2"/>
        <v>95.96513133539338</v>
      </c>
      <c r="R22" s="62">
        <f t="shared" si="0"/>
        <v>389.29846466872669</v>
      </c>
      <c r="S22" s="62">
        <f ca="1">AVERAGE(OFFSET($R$3,0,0,'Données projet'!$E$9+1,1))-AVERAGE(OFFSET($H$3,0,0,'Données projet'!$E$9+1,1))</f>
        <v>173.76802753906867</v>
      </c>
      <c r="T22" s="62">
        <f t="shared" si="34"/>
        <v>153.4527010894717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>
        <f>VLOOKUP(A22,'Données projet'!$A$61:$I$81,2,0)</f>
        <v>162</v>
      </c>
      <c r="AG22" s="13">
        <f>VLOOKUP(A22,'Données projet'!$A$61:$I$81,9,0)</f>
        <v>8.526315789473685</v>
      </c>
      <c r="AH22" s="13">
        <f t="array" ref="AH22">INDEX(AG:AG,MIN(IF(ISNUMBER(AG22:AG218),ROW(AG22:AG218),"")))</f>
        <v>8.526315789473685</v>
      </c>
      <c r="AI22" s="14">
        <f>IF('Données projet'!$A$62&gt;35,AI21+AH22-AQ21,IF(A22&lt;'Données projet'!$A$62,$AF$205^A22,IF(A22='Données projet'!$A$62,'Données projet'!$B$62,AI21+AH22-AQ21)))</f>
        <v>162</v>
      </c>
      <c r="AJ22" s="14">
        <f>AI22*VLOOKUP('Données projet'!$B$10,Paramètres!$A$1:$I$89,3,0)*VLOOKUP('Données projet'!$B$10,Paramètres!$A$1:$I$89,5,0)</f>
        <v>90.557999999999993</v>
      </c>
      <c r="AK22" s="14">
        <f t="shared" si="35"/>
        <v>24.699752708509138</v>
      </c>
      <c r="AL22" s="22">
        <f t="shared" si="4"/>
        <v>200.74058596732007</v>
      </c>
      <c r="AM22" s="62">
        <f t="shared" si="5"/>
        <v>494.07391930065342</v>
      </c>
      <c r="AN22" s="62">
        <f ca="1">AVERAGE(OFFSET($AM$3,0,0,'Données projet'!$E$10+1,1))-AVERAGE(OFFSET($H$3,0,0,'Données projet'!$E$10+1,1))</f>
        <v>382.55387448074327</v>
      </c>
      <c r="AO22" s="62">
        <f t="shared" si="36"/>
        <v>476.29465646955543</v>
      </c>
      <c r="AP22" s="16">
        <f>IF(ISNA(VLOOKUP(A22,'Données projet'!$A$61:$I$81,3,0)),0,VLOOKUP(A22,'Données projet'!$A$61:$I$81,3,0))</f>
        <v>1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8.2500000000000004E-2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0.85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2">
        <f t="shared" si="32"/>
        <v>3.4063208944730636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70">
        <f t="shared" si="1"/>
        <v>316.02084222454056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>
        <f>VLOOKUP(A23,'Données projet'!$A$35:$I$55,2,0)</f>
        <v>115</v>
      </c>
      <c r="L23" s="13">
        <f>VLOOKUP(A23,'Données projet'!$A$35:$I$55,9,0)</f>
        <v>5.75</v>
      </c>
      <c r="M23" s="13">
        <f t="array" ref="M23">INDEX(L:L,MIN(IF(ISNUMBER(L23:L219),ROW(L23:L219),"")))</f>
        <v>5.75</v>
      </c>
      <c r="N23" s="14">
        <f>IF('Données projet'!$A$36&gt;35,N22+M23-V22,IF(A23&lt;'Données projet'!$A$36,$K$205^A23,IF(A23='Données projet'!$A$36,'Données projet'!$B$36,N22+M23-V22)))</f>
        <v>115</v>
      </c>
      <c r="O23" s="14">
        <f>N23*VLOOKUP('Données projet'!$B$9,Paramètres!$A$1:$I$89,3,0)*VLOOKUP('Données projet'!$B$9,Paramètres!$A$1:$I$89,5,0)</f>
        <v>53.82</v>
      </c>
      <c r="P23" s="14">
        <f t="shared" si="33"/>
        <v>15.596024630246266</v>
      </c>
      <c r="Q23" s="22">
        <f t="shared" si="2"/>
        <v>120.89957623101225</v>
      </c>
      <c r="R23" s="62">
        <f t="shared" si="0"/>
        <v>414.23290956434556</v>
      </c>
      <c r="S23" s="62">
        <f ca="1">AVERAGE(OFFSET($R$3,0,0,'Données projet'!$E$9+1,1))-AVERAGE(OFFSET($H$3,0,0,'Données projet'!$E$9+1,1))</f>
        <v>173.76802753906867</v>
      </c>
      <c r="T23" s="62">
        <f t="shared" si="34"/>
        <v>153.4527010894717</v>
      </c>
      <c r="U23" s="16">
        <f>IF(ISNA(VLOOKUP(A23,'Données projet'!$A$35:$I$55,3,0)),0,VLOOKUP(A23,'Données projet'!$A$35:$I$55,3,0))</f>
        <v>1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0.22000000000000003</v>
      </c>
      <c r="X23" s="78">
        <f>IF(ISNA(VLOOKUP(A23,'Données projet'!$A$35:$I$55,6,0)),0%,VLOOKUP(A23,'Données projet'!$A$35:$I$55,6,0)*VLOOKUP('Données projet'!$B$9,Paramètres!$A$1:$I$89,7,0))</f>
        <v>0.22000000000000003</v>
      </c>
      <c r="Y23" s="17">
        <f>IF(ISNA(VLOOKUP(A23,'Données projet'!$A$35:$I$55,7,0)),0%,VLOOKUP(A23,'Données projet'!$A$35:$I$55,7,0))</f>
        <v>0.2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28.833333333333332</v>
      </c>
      <c r="AI23" s="14">
        <f>IF('Données projet'!$A$62&gt;35,AI22+AH23-AQ22,IF(A23&lt;'Données projet'!$A$62,$AF$205^A23,IF(A23='Données projet'!$A$62,'Données projet'!$B$62,AI22+AH23-AQ22)))</f>
        <v>190.83333333333334</v>
      </c>
      <c r="AJ23" s="14">
        <f>AI23*VLOOKUP('Données projet'!$B$10,Paramètres!$A$1:$I$89,3,0)*VLOOKUP('Données projet'!$B$10,Paramètres!$A$1:$I$89,5,0)</f>
        <v>106.67583333333334</v>
      </c>
      <c r="AK23" s="14">
        <f t="shared" si="35"/>
        <v>28.546391754319739</v>
      </c>
      <c r="AL23" s="22">
        <f t="shared" si="4"/>
        <v>235.51204202766243</v>
      </c>
      <c r="AM23" s="62">
        <f t="shared" si="5"/>
        <v>528.84537536099572</v>
      </c>
      <c r="AN23" s="62">
        <f ca="1">AVERAGE(OFFSET($AM$3,0,0,'Données projet'!$E$10+1,1))-AVERAGE(OFFSET($H$3,0,0,'Données projet'!$E$10+1,1))</f>
        <v>382.55387448074327</v>
      </c>
      <c r="AO23" s="62">
        <f t="shared" si="36"/>
        <v>476.29465646955543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2">
        <f t="shared" si="32"/>
        <v>3.556382161371384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70">
        <f t="shared" si="1"/>
        <v>317.11994059772178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6.5</v>
      </c>
      <c r="N24" s="14">
        <f>IF('Données projet'!$A$36&gt;35,N23+M24-V23,IF(A24&lt;'Données projet'!$A$36,$K$205^A24,IF(A24='Données projet'!$A$36,'Données projet'!$B$36,N23+M24-V23)))</f>
        <v>121.5</v>
      </c>
      <c r="O24" s="14">
        <f>N24*VLOOKUP('Données projet'!$B$9,Paramètres!$A$1:$I$89,3,0)*VLOOKUP('Données projet'!$B$9,Paramètres!$A$1:$I$89,5,0)</f>
        <v>56.861999999999995</v>
      </c>
      <c r="P24" s="14">
        <f t="shared" si="33"/>
        <v>16.372420859571687</v>
      </c>
      <c r="Q24" s="22">
        <f t="shared" si="2"/>
        <v>127.54994966375402</v>
      </c>
      <c r="R24" s="62">
        <f t="shared" si="0"/>
        <v>420.88328299708735</v>
      </c>
      <c r="S24" s="62">
        <f ca="1">AVERAGE(OFFSET($R$3,0,0,'Données projet'!$E$9+1,1))-AVERAGE(OFFSET($H$3,0,0,'Données projet'!$E$9+1,1))</f>
        <v>173.76802753906867</v>
      </c>
      <c r="T24" s="62">
        <f t="shared" si="34"/>
        <v>153.4527010894717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28.833333333333332</v>
      </c>
      <c r="AI24" s="14">
        <f>IF('Données projet'!$A$62&gt;35,AI23+AH24-AQ23,IF(A24&lt;'Données projet'!$A$62,$AF$205^A24,IF(A24='Données projet'!$A$62,'Données projet'!$B$62,AI23+AH24-AQ23)))</f>
        <v>219.66666666666669</v>
      </c>
      <c r="AJ24" s="14">
        <f>AI24*VLOOKUP('Données projet'!$B$10,Paramètres!$A$1:$I$89,3,0)*VLOOKUP('Données projet'!$B$10,Paramètres!$A$1:$I$89,5,0)</f>
        <v>122.79366666666668</v>
      </c>
      <c r="AK24" s="14">
        <f t="shared" si="35"/>
        <v>32.32570088253398</v>
      </c>
      <c r="AL24" s="22">
        <f t="shared" si="4"/>
        <v>270.16623181485778</v>
      </c>
      <c r="AM24" s="62">
        <f t="shared" si="5"/>
        <v>563.4995651481911</v>
      </c>
      <c r="AN24" s="62">
        <f ca="1">AVERAGE(OFFSET($AM$3,0,0,'Données projet'!$E$10+1,1))-AVERAGE(OFFSET($H$3,0,0,'Données projet'!$E$10+1,1))</f>
        <v>382.55387448074327</v>
      </c>
      <c r="AO24" s="62">
        <f t="shared" si="36"/>
        <v>476.29465646955543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2">
        <f t="shared" si="32"/>
        <v>3.7056136299176217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70">
        <f t="shared" si="1"/>
        <v>318.21759373877319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6.5</v>
      </c>
      <c r="N25" s="14">
        <f>IF('Données projet'!$A$36&gt;35,N24+M25-V24,IF(A25&lt;'Données projet'!$A$36,$K$205^A25,IF(A25='Données projet'!$A$36,'Données projet'!$B$36,N24+M25-V24)))</f>
        <v>128</v>
      </c>
      <c r="O25" s="14">
        <f>N25*VLOOKUP('Données projet'!$B$9,Paramètres!$A$1:$I$89,3,0)*VLOOKUP('Données projet'!$B$9,Paramètres!$A$1:$I$89,5,0)</f>
        <v>59.903999999999996</v>
      </c>
      <c r="P25" s="14">
        <f t="shared" si="33"/>
        <v>17.143994938960184</v>
      </c>
      <c r="Q25" s="22">
        <f t="shared" si="2"/>
        <v>134.19192451868898</v>
      </c>
      <c r="R25" s="62">
        <f t="shared" si="0"/>
        <v>427.52525785202226</v>
      </c>
      <c r="S25" s="62">
        <f ca="1">AVERAGE(OFFSET($R$3,0,0,'Données projet'!$E$9+1,1))-AVERAGE(OFFSET($H$3,0,0,'Données projet'!$E$9+1,1))</f>
        <v>173.76802753906867</v>
      </c>
      <c r="T25" s="62">
        <f t="shared" si="34"/>
        <v>153.4527010894717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28.833333333333332</v>
      </c>
      <c r="AI25" s="14">
        <f>IF('Données projet'!$A$62&gt;35,AI24+AH25-AQ24,IF(A25&lt;'Données projet'!$A$62,$AF$205^A25,IF(A25='Données projet'!$A$62,'Données projet'!$B$62,AI24+AH25-AQ24)))</f>
        <v>248.50000000000003</v>
      </c>
      <c r="AJ25" s="14">
        <f>AI25*VLOOKUP('Données projet'!$B$10,Paramètres!$A$1:$I$89,3,0)*VLOOKUP('Données projet'!$B$10,Paramètres!$A$1:$I$89,5,0)</f>
        <v>138.91150000000002</v>
      </c>
      <c r="AK25" s="14">
        <f t="shared" si="35"/>
        <v>36.047532265727178</v>
      </c>
      <c r="AL25" s="22">
        <f t="shared" si="4"/>
        <v>304.72031452947482</v>
      </c>
      <c r="AM25" s="62">
        <f t="shared" si="5"/>
        <v>598.05364786280813</v>
      </c>
      <c r="AN25" s="62">
        <f ca="1">AVERAGE(OFFSET($AM$3,0,0,'Données projet'!$E$10+1,1))-AVERAGE(OFFSET($H$3,0,0,'Données projet'!$E$10+1,1))</f>
        <v>382.55387448074327</v>
      </c>
      <c r="AO25" s="62">
        <f t="shared" si="36"/>
        <v>476.29465646955543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2">
        <f t="shared" si="32"/>
        <v>3.8540573269792704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70">
        <f t="shared" si="1"/>
        <v>319.31387484448885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6.5</v>
      </c>
      <c r="N26" s="14">
        <f>IF('Données projet'!$A$36&gt;35,N25+M26-V25,IF(A26&lt;'Données projet'!$A$36,$K$205^A26,IF(A26='Données projet'!$A$36,'Données projet'!$B$36,N25+M26-V25)))</f>
        <v>134.5</v>
      </c>
      <c r="O26" s="14">
        <f>N26*VLOOKUP('Données projet'!$B$9,Paramètres!$A$1:$I$89,3,0)*VLOOKUP('Données projet'!$B$9,Paramètres!$A$1:$I$89,5,0)</f>
        <v>62.946000000000005</v>
      </c>
      <c r="P26" s="14">
        <f t="shared" si="33"/>
        <v>17.911019680519331</v>
      </c>
      <c r="Q26" s="22">
        <f t="shared" si="2"/>
        <v>140.82597594357114</v>
      </c>
      <c r="R26" s="62">
        <f t="shared" si="0"/>
        <v>434.15930927690442</v>
      </c>
      <c r="S26" s="62">
        <f ca="1">AVERAGE(OFFSET($R$3,0,0,'Données projet'!$E$9+1,1))-AVERAGE(OFFSET($H$3,0,0,'Données projet'!$E$9+1,1))</f>
        <v>173.76802753906867</v>
      </c>
      <c r="T26" s="62">
        <f t="shared" si="34"/>
        <v>153.4527010894717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28.833333333333332</v>
      </c>
      <c r="AI26" s="14">
        <f>IF('Données projet'!$A$62&gt;35,AI25+AH26-AQ25,IF(A26&lt;'Données projet'!$A$62,$AF$205^A26,IF(A26='Données projet'!$A$62,'Données projet'!$B$62,AI25+AH26-AQ25)))</f>
        <v>277.33333333333337</v>
      </c>
      <c r="AJ26" s="14">
        <f>AI26*VLOOKUP('Données projet'!$B$10,Paramètres!$A$1:$I$89,3,0)*VLOOKUP('Données projet'!$B$10,Paramètres!$A$1:$I$89,5,0)</f>
        <v>155.02933333333334</v>
      </c>
      <c r="AK26" s="14">
        <f t="shared" si="35"/>
        <v>39.719316712120367</v>
      </c>
      <c r="AL26" s="22">
        <f t="shared" si="4"/>
        <v>339.1872321624985</v>
      </c>
      <c r="AM26" s="62">
        <f t="shared" si="5"/>
        <v>632.52056549583176</v>
      </c>
      <c r="AN26" s="62">
        <f ca="1">AVERAGE(OFFSET($AM$3,0,0,'Données projet'!$E$10+1,1))-AVERAGE(OFFSET($H$3,0,0,'Données projet'!$E$10+1,1))</f>
        <v>382.55387448074327</v>
      </c>
      <c r="AO26" s="62">
        <f t="shared" si="36"/>
        <v>476.29465646955543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2">
        <f t="shared" si="32"/>
        <v>4.0017514182509002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70">
        <f t="shared" si="1"/>
        <v>320.40885038678698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6.5</v>
      </c>
      <c r="N27" s="14">
        <f>IF('Données projet'!$A$36&gt;35,N26+M27-V26,IF(A27&lt;'Données projet'!$A$36,$K$205^A27,IF(A27='Données projet'!$A$36,'Données projet'!$B$36,N26+M27-V26)))</f>
        <v>141</v>
      </c>
      <c r="O27" s="14">
        <f>N27*VLOOKUP('Données projet'!$B$9,Paramètres!$A$1:$I$89,3,0)*VLOOKUP('Données projet'!$B$9,Paramètres!$A$1:$I$89,5,0)</f>
        <v>65.988</v>
      </c>
      <c r="P27" s="14">
        <f t="shared" si="33"/>
        <v>18.67374003807944</v>
      </c>
      <c r="Q27" s="22">
        <f t="shared" si="2"/>
        <v>147.45253056632168</v>
      </c>
      <c r="R27" s="62">
        <f t="shared" si="0"/>
        <v>440.785863899655</v>
      </c>
      <c r="S27" s="62">
        <f ca="1">AVERAGE(OFFSET($R$3,0,0,'Données projet'!$E$9+1,1))-AVERAGE(OFFSET($H$3,0,0,'Données projet'!$E$9+1,1))</f>
        <v>173.76802753906867</v>
      </c>
      <c r="T27" s="62">
        <f t="shared" si="34"/>
        <v>153.4527010894717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28.833333333333332</v>
      </c>
      <c r="AI27" s="14">
        <f>IF('Données projet'!$A$62&gt;35,AI26+AH27-AQ26,IF(A27&lt;'Données projet'!$A$62,$AF$205^A27,IF(A27='Données projet'!$A$62,'Données projet'!$B$62,AI26+AH27-AQ26)))</f>
        <v>306.16666666666669</v>
      </c>
      <c r="AJ27" s="14">
        <f>AI27*VLOOKUP('Données projet'!$B$10,Paramètres!$A$1:$I$89,3,0)*VLOOKUP('Données projet'!$B$10,Paramètres!$A$1:$I$89,5,0)</f>
        <v>171.14716666666669</v>
      </c>
      <c r="AK27" s="14">
        <f t="shared" si="35"/>
        <v>43.346850105371793</v>
      </c>
      <c r="AL27" s="22">
        <f t="shared" si="4"/>
        <v>373.57707921130037</v>
      </c>
      <c r="AM27" s="62">
        <f t="shared" si="5"/>
        <v>666.91041254463369</v>
      </c>
      <c r="AN27" s="62">
        <f ca="1">AVERAGE(OFFSET($AM$3,0,0,'Données projet'!$E$10+1,1))-AVERAGE(OFFSET($H$3,0,0,'Données projet'!$E$10+1,1))</f>
        <v>382.55387448074327</v>
      </c>
      <c r="AO27" s="62">
        <f t="shared" si="36"/>
        <v>476.29465646955543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2">
        <f t="shared" si="32"/>
        <v>4.1487307090142194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70">
        <f t="shared" si="1"/>
        <v>321.50258098486643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6.5</v>
      </c>
      <c r="N28" s="14">
        <f>IF('Données projet'!$A$36&gt;35,N27+M28-V27,IF(A28&lt;'Données projet'!$A$36,$K$205^A28,IF(A28='Données projet'!$A$36,'Données projet'!$B$36,N27+M28-V27)))</f>
        <v>147.5</v>
      </c>
      <c r="O28" s="14">
        <f>N28*VLOOKUP('Données projet'!$B$9,Paramètres!$A$1:$I$89,3,0)*VLOOKUP('Données projet'!$B$9,Paramètres!$A$1:$I$89,5,0)</f>
        <v>69.03</v>
      </c>
      <c r="P28" s="14">
        <f t="shared" si="33"/>
        <v>19.432377104615718</v>
      </c>
      <c r="Q28" s="22">
        <f t="shared" si="2"/>
        <v>154.0719734572057</v>
      </c>
      <c r="R28" s="62">
        <f t="shared" si="0"/>
        <v>447.40530679053904</v>
      </c>
      <c r="S28" s="62">
        <f ca="1">AVERAGE(OFFSET($R$3,0,0,'Données projet'!$E$9+1,1))-AVERAGE(OFFSET($H$3,0,0,'Données projet'!$E$9+1,1))</f>
        <v>173.76802753906867</v>
      </c>
      <c r="T28" s="62">
        <f t="shared" si="34"/>
        <v>153.4527010894717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>
        <f>VLOOKUP(A28,'Données projet'!$A$61:$I$81,2,0)</f>
        <v>335</v>
      </c>
      <c r="AG28" s="13">
        <f>VLOOKUP(A28,'Données projet'!$A$61:$I$81,9,0)</f>
        <v>28.833333333333332</v>
      </c>
      <c r="AH28" s="13">
        <f t="array" ref="AH28">INDEX(AG:AG,MIN(IF(ISNUMBER(AG28:AG224),ROW(AG28:AG224),"")))</f>
        <v>28.833333333333332</v>
      </c>
      <c r="AI28" s="14">
        <f>IF('Données projet'!$A$62&gt;35,AI27+AH28-AQ27,IF(A28&lt;'Données projet'!$A$62,$AF$205^A28,IF(A28='Données projet'!$A$62,'Données projet'!$B$62,AI27+AH28-AQ27)))</f>
        <v>335</v>
      </c>
      <c r="AJ28" s="14">
        <f>AI28*VLOOKUP('Données projet'!$B$10,Paramètres!$A$1:$I$89,3,0)*VLOOKUP('Données projet'!$B$10,Paramètres!$A$1:$I$89,5,0)</f>
        <v>187.26500000000001</v>
      </c>
      <c r="AK28" s="14">
        <f t="shared" si="35"/>
        <v>46.934773872544483</v>
      </c>
      <c r="AL28" s="22">
        <f t="shared" si="4"/>
        <v>407.89793949468162</v>
      </c>
      <c r="AM28" s="62">
        <f t="shared" si="5"/>
        <v>701.23127282801488</v>
      </c>
      <c r="AN28" s="62">
        <f ca="1">AVERAGE(OFFSET($AM$3,0,0,'Données projet'!$E$10+1,1))-AVERAGE(OFFSET($H$3,0,0,'Données projet'!$E$10+1,1))</f>
        <v>382.55387448074327</v>
      </c>
      <c r="AO28" s="62">
        <f t="shared" si="36"/>
        <v>476.29465646955543</v>
      </c>
      <c r="AP28" s="16">
        <f>IF(ISNA(VLOOKUP(A28,'Données projet'!$A$61:$I$81,3,0)),0,VLOOKUP(A28,'Données projet'!$A$61:$I$81,3,0))</f>
        <v>2</v>
      </c>
      <c r="AQ28" s="16">
        <f>IF(ISNA(VLOOKUP(A28,'Données projet'!$A$61:$I$81,4,0)),0,VLOOKUP(A28,'Données projet'!$A$61:$I$81,4,0))</f>
        <v>54</v>
      </c>
      <c r="AR28" s="17">
        <f>IF(ISNA(VLOOKUP(A28,'Données projet'!$A$61:$I$81,5,0)),0%,VLOOKUP(A28,'Données projet'!$A$61:$I$81,5,0)*VLOOKUP('Données projet'!$B$10,Paramètres!$A$1:$I$89,7,0))</f>
        <v>0.13750000000000001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0.75</v>
      </c>
      <c r="AU28" s="23">
        <f>EXP(-LN(2)/35)*AU27+(1-EXP(-LN(2)/35))/(LN(2)/35)*AQ28*AR28*VLOOKUP('Données projet'!$B$10,Paramètres!$A$1:$I$89,3,0)*0.475*44/12</f>
        <v>5.5060052646359701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25.633173099850424</v>
      </c>
      <c r="AX28" s="23">
        <f t="shared" si="6"/>
        <v>31.139178364486394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2">
        <f t="shared" si="32"/>
        <v>4.2950270625211857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70">
        <f t="shared" si="1"/>
        <v>322.59512213389104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6.5</v>
      </c>
      <c r="N29" s="14">
        <f>IF('Données projet'!$A$36&gt;35,N28+M29-V28,IF(A29&lt;'Données projet'!$A$36,$K$205^A29,IF(A29='Données projet'!$A$36,'Données projet'!$B$36,N28+M29-V28)))</f>
        <v>154</v>
      </c>
      <c r="O29" s="14">
        <f>N29*VLOOKUP('Données projet'!$B$9,Paramètres!$A$1:$I$89,3,0)*VLOOKUP('Données projet'!$B$9,Paramètres!$A$1:$I$89,5,0)</f>
        <v>72.072000000000003</v>
      </c>
      <c r="P29" s="14">
        <f t="shared" si="33"/>
        <v>20.187131385147271</v>
      </c>
      <c r="Q29" s="22">
        <f t="shared" si="2"/>
        <v>160.68465382913149</v>
      </c>
      <c r="R29" s="62">
        <f t="shared" si="0"/>
        <v>454.01798716246481</v>
      </c>
      <c r="S29" s="62">
        <f ca="1">AVERAGE(OFFSET($R$3,0,0,'Données projet'!$E$9+1,1))-AVERAGE(OFFSET($H$3,0,0,'Données projet'!$E$9+1,1))</f>
        <v>173.76802753906867</v>
      </c>
      <c r="T29" s="62">
        <f t="shared" si="34"/>
        <v>153.4527010894717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28</v>
      </c>
      <c r="AI29" s="14">
        <f>IF('Données projet'!$A$62&gt;35,AI28+AH29-AQ28,IF(A29&lt;'Données projet'!$A$62,$AF$205^A29,IF(A29='Données projet'!$A$62,'Données projet'!$B$62,AI28+AH29-AQ28)))</f>
        <v>309</v>
      </c>
      <c r="AJ29" s="14">
        <f>AI29*VLOOKUP('Données projet'!$B$10,Paramètres!$A$1:$I$89,3,0)*VLOOKUP('Données projet'!$B$10,Paramètres!$A$1:$I$89,5,0)</f>
        <v>172.73100000000002</v>
      </c>
      <c r="AK29" s="14">
        <f t="shared" si="35"/>
        <v>43.701108252019125</v>
      </c>
      <c r="AL29" s="22">
        <f t="shared" si="4"/>
        <v>376.9525885389333</v>
      </c>
      <c r="AM29" s="62">
        <f t="shared" si="5"/>
        <v>670.28592187226661</v>
      </c>
      <c r="AN29" s="62">
        <f ca="1">AVERAGE(OFFSET($AM$3,0,0,'Données projet'!$E$10+1,1))-AVERAGE(OFFSET($H$3,0,0,'Données projet'!$E$10+1,1))</f>
        <v>382.55387448074327</v>
      </c>
      <c r="AO29" s="62">
        <f t="shared" si="36"/>
        <v>476.29465646955543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5.3980358597280622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18.125390522232831</v>
      </c>
      <c r="AX29" s="23">
        <f t="shared" si="6"/>
        <v>23.523426381960892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2">
        <f t="shared" si="32"/>
        <v>4.4406697522000558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70">
        <f t="shared" si="1"/>
        <v>323.68652481841508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6.5</v>
      </c>
      <c r="N30" s="14">
        <f>IF('Données projet'!$A$36&gt;35,N29+M30-V29,IF(A30&lt;'Données projet'!$A$36,$K$205^A30,IF(A30='Données projet'!$A$36,'Données projet'!$B$36,N29+M30-V29)))</f>
        <v>160.5</v>
      </c>
      <c r="O30" s="14">
        <f>N30*VLOOKUP('Données projet'!$B$9,Paramètres!$A$1:$I$89,3,0)*VLOOKUP('Données projet'!$B$9,Paramètres!$A$1:$I$89,5,0)</f>
        <v>75.114000000000004</v>
      </c>
      <c r="P30" s="14">
        <f t="shared" si="33"/>
        <v>20.938185501492693</v>
      </c>
      <c r="Q30" s="22">
        <f t="shared" si="2"/>
        <v>167.2908897484331</v>
      </c>
      <c r="R30" s="62">
        <f t="shared" si="0"/>
        <v>460.62422308176644</v>
      </c>
      <c r="S30" s="62">
        <f ca="1">AVERAGE(OFFSET($R$3,0,0,'Données projet'!$E$9+1,1))-AVERAGE(OFFSET($H$3,0,0,'Données projet'!$E$9+1,1))</f>
        <v>173.76802753906867</v>
      </c>
      <c r="T30" s="62">
        <f t="shared" si="34"/>
        <v>153.4527010894717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28</v>
      </c>
      <c r="AI30" s="14">
        <f>IF('Données projet'!$A$62&gt;35,AI29+AH30-AQ29,IF(A30&lt;'Données projet'!$A$62,$AF$205^A30,IF(A30='Données projet'!$A$62,'Données projet'!$B$62,AI29+AH30-AQ29)))</f>
        <v>337</v>
      </c>
      <c r="AJ30" s="14">
        <f>AI30*VLOOKUP('Données projet'!$B$10,Paramètres!$A$1:$I$89,3,0)*VLOOKUP('Données projet'!$B$10,Paramètres!$A$1:$I$89,5,0)</f>
        <v>188.38300000000001</v>
      </c>
      <c r="AK30" s="14">
        <f t="shared" si="35"/>
        <v>47.182279474248382</v>
      </c>
      <c r="AL30" s="22">
        <f t="shared" si="4"/>
        <v>410.27619508431599</v>
      </c>
      <c r="AM30" s="62">
        <f t="shared" si="5"/>
        <v>703.60952841764924</v>
      </c>
      <c r="AN30" s="62">
        <f ca="1">AVERAGE(OFFSET($AM$3,0,0,'Données projet'!$E$10+1,1))-AVERAGE(OFFSET($H$3,0,0,'Données projet'!$E$10+1,1))</f>
        <v>382.55387448074327</v>
      </c>
      <c r="AO30" s="62">
        <f t="shared" si="36"/>
        <v>476.29465646955543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5.2921836689955644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12.816586549925214</v>
      </c>
      <c r="AX30" s="23">
        <f t="shared" si="6"/>
        <v>18.108770218920778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2">
        <f t="shared" si="32"/>
        <v>4.5856857602159096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70">
        <f t="shared" si="1"/>
        <v>324.77683603237602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6.5</v>
      </c>
      <c r="N31" s="14">
        <f>IF('Données projet'!$A$36&gt;35,N30+M31-V30,IF(A31&lt;'Données projet'!$A$36,$K$205^A31,IF(A31='Données projet'!$A$36,'Données projet'!$B$36,N30+M31-V30)))</f>
        <v>167</v>
      </c>
      <c r="O31" s="14">
        <f>N31*VLOOKUP('Données projet'!$B$9,Paramètres!$A$1:$I$89,3,0)*VLOOKUP('Données projet'!$B$9,Paramètres!$A$1:$I$89,5,0)</f>
        <v>78.156000000000006</v>
      </c>
      <c r="P31" s="14">
        <f t="shared" si="33"/>
        <v>21.685706446534809</v>
      </c>
      <c r="Q31" s="22">
        <f t="shared" si="2"/>
        <v>173.89097206104813</v>
      </c>
      <c r="R31" s="62">
        <f t="shared" si="0"/>
        <v>467.22430539438142</v>
      </c>
      <c r="S31" s="62">
        <f ca="1">AVERAGE(OFFSET($R$3,0,0,'Données projet'!$E$9+1,1))-AVERAGE(OFFSET($H$3,0,0,'Données projet'!$E$9+1,1))</f>
        <v>173.76802753906867</v>
      </c>
      <c r="T31" s="62">
        <f t="shared" si="34"/>
        <v>153.4527010894717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28</v>
      </c>
      <c r="AI31" s="14">
        <f>IF('Données projet'!$A$62&gt;35,AI30+AH31-AQ30,IF(A31&lt;'Données projet'!$A$62,$AF$205^A31,IF(A31='Données projet'!$A$62,'Données projet'!$B$62,AI30+AH31-AQ30)))</f>
        <v>365</v>
      </c>
      <c r="AJ31" s="14">
        <f>AI31*VLOOKUP('Données projet'!$B$10,Paramètres!$A$1:$I$89,3,0)*VLOOKUP('Données projet'!$B$10,Paramètres!$A$1:$I$89,5,0)</f>
        <v>204.035</v>
      </c>
      <c r="AK31" s="14">
        <f t="shared" si="35"/>
        <v>50.629905099971396</v>
      </c>
      <c r="AL31" s="22">
        <f t="shared" si="4"/>
        <v>443.54137638245015</v>
      </c>
      <c r="AM31" s="62">
        <f t="shared" si="5"/>
        <v>736.87470971578341</v>
      </c>
      <c r="AN31" s="62">
        <f ca="1">AVERAGE(OFFSET($AM$3,0,0,'Données projet'!$E$10+1,1))-AVERAGE(OFFSET($H$3,0,0,'Données projet'!$E$10+1,1))</f>
        <v>382.55387448074327</v>
      </c>
      <c r="AO31" s="62">
        <f t="shared" si="36"/>
        <v>476.29465646955543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5.1884071751598695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9.0626952611164171</v>
      </c>
      <c r="AX31" s="23">
        <f t="shared" si="6"/>
        <v>14.251102436276287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2">
        <f t="shared" si="32"/>
        <v>4.7301000321811131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70">
        <f t="shared" si="1"/>
        <v>325.86609922271543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6.5</v>
      </c>
      <c r="N32" s="14">
        <f>IF('Données projet'!$A$36&gt;35,N31+M32-V31,IF(A32&lt;'Données projet'!$A$36,$K$205^A32,IF(A32='Données projet'!$A$36,'Données projet'!$B$36,N31+M32-V31)))</f>
        <v>173.5</v>
      </c>
      <c r="O32" s="14">
        <f>N32*VLOOKUP('Données projet'!$B$9,Paramètres!$A$1:$I$89,3,0)*VLOOKUP('Données projet'!$B$9,Paramètres!$A$1:$I$89,5,0)</f>
        <v>81.198000000000008</v>
      </c>
      <c r="P32" s="14">
        <f t="shared" si="33"/>
        <v>22.429847477648512</v>
      </c>
      <c r="Q32" s="22">
        <f t="shared" si="2"/>
        <v>180.48516769023783</v>
      </c>
      <c r="R32" s="62">
        <f t="shared" si="0"/>
        <v>473.81850102357112</v>
      </c>
      <c r="S32" s="62">
        <f ca="1">AVERAGE(OFFSET($R$3,0,0,'Données projet'!$E$9+1,1))-AVERAGE(OFFSET($H$3,0,0,'Données projet'!$E$9+1,1))</f>
        <v>173.76802753906867</v>
      </c>
      <c r="T32" s="62">
        <f t="shared" si="34"/>
        <v>153.4527010894717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28</v>
      </c>
      <c r="AI32" s="14">
        <f>IF('Données projet'!$A$62&gt;35,AI31+AH32-AQ31,IF(A32&lt;'Données projet'!$A$62,$AF$205^A32,IF(A32='Données projet'!$A$62,'Données projet'!$B$62,AI31+AH32-AQ31)))</f>
        <v>393</v>
      </c>
      <c r="AJ32" s="14">
        <f>AI32*VLOOKUP('Données projet'!$B$10,Paramètres!$A$1:$I$89,3,0)*VLOOKUP('Données projet'!$B$10,Paramètres!$A$1:$I$89,5,0)</f>
        <v>219.68700000000001</v>
      </c>
      <c r="AK32" s="14">
        <f t="shared" si="35"/>
        <v>54.046851081096591</v>
      </c>
      <c r="AL32" s="22">
        <f t="shared" si="4"/>
        <v>476.75312396624321</v>
      </c>
      <c r="AM32" s="62">
        <f t="shared" si="5"/>
        <v>770.08645729957652</v>
      </c>
      <c r="AN32" s="62">
        <f ca="1">AVERAGE(OFFSET($AM$3,0,0,'Données projet'!$E$10+1,1))-AVERAGE(OFFSET($H$3,0,0,'Données projet'!$E$10+1,1))</f>
        <v>382.55387448074327</v>
      </c>
      <c r="AO32" s="62">
        <f t="shared" si="36"/>
        <v>476.29465646955543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5.0866656750708819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6.4082932749626078</v>
      </c>
      <c r="AX32" s="23">
        <f t="shared" si="6"/>
        <v>11.494958950033489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2">
        <f t="shared" si="32"/>
        <v>4.8739356957462956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70">
        <f t="shared" si="1"/>
        <v>326.95435467009145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180</v>
      </c>
      <c r="L33" s="13">
        <f>VLOOKUP(A33,'Données projet'!$A$35:$I$55,9,0)</f>
        <v>6.5</v>
      </c>
      <c r="M33" s="13">
        <f t="array" ref="M33">INDEX(L:L,MIN(IF(ISNUMBER(L33:L229),ROW(L33:L229),"")))</f>
        <v>6.5</v>
      </c>
      <c r="N33" s="14">
        <f>IF('Données projet'!$A$36&gt;35,N32+M33-V32,IF(A33&lt;'Données projet'!$A$36,$K$205^A33,IF(A33='Données projet'!$A$36,'Données projet'!$B$36,N32+M33-V32)))</f>
        <v>180</v>
      </c>
      <c r="O33" s="14">
        <f>N33*VLOOKUP('Données projet'!$B$9,Paramètres!$A$1:$I$89,3,0)*VLOOKUP('Données projet'!$B$9,Paramètres!$A$1:$I$89,5,0)</f>
        <v>84.24</v>
      </c>
      <c r="P33" s="14">
        <f t="shared" si="33"/>
        <v>23.170749718409468</v>
      </c>
      <c r="Q33" s="22">
        <f t="shared" si="2"/>
        <v>187.07372242622981</v>
      </c>
      <c r="R33" s="62">
        <f t="shared" si="0"/>
        <v>480.40705575956315</v>
      </c>
      <c r="S33" s="62">
        <f ca="1">AVERAGE(OFFSET($R$3,0,0,'Données projet'!$E$9+1,1))-AVERAGE(OFFSET($H$3,0,0,'Données projet'!$E$9+1,1))</f>
        <v>173.76802753906867</v>
      </c>
      <c r="T33" s="62">
        <f t="shared" si="34"/>
        <v>153.4527010894717</v>
      </c>
      <c r="U33" s="16">
        <f>IF(ISNA(VLOOKUP(A33,'Données projet'!$A$35:$I$55,3,0)),0,VLOOKUP(A33,'Données projet'!$A$35:$I$55,3,0))</f>
        <v>2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0.33</v>
      </c>
      <c r="X33" s="17">
        <f>IF(ISNA(VLOOKUP(A33,'Données projet'!$A$35:$I$55,6,0)),0%,VLOOKUP(A33,'Données projet'!$A$35:$I$55,6,0)*VLOOKUP('Données projet'!$B$9,Paramètres!$A$1:$I$89,7,0))</f>
        <v>0.16500000000000001</v>
      </c>
      <c r="Y33" s="17">
        <f>IF(ISNA(VLOOKUP(A33,'Données projet'!$A$35:$I$55,7,0)),0%,VLOOKUP(A33,'Données projet'!$A$35:$I$55,7,0))</f>
        <v>0.1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421</v>
      </c>
      <c r="AG33" s="13">
        <f>VLOOKUP(A33,'Données projet'!$A$61:$I$81,9,0)</f>
        <v>28</v>
      </c>
      <c r="AH33" s="13">
        <f t="array" ref="AH33">INDEX(AG:AG,MIN(IF(ISNUMBER(AG33:AG229),ROW(AG33:AG229),"")))</f>
        <v>28</v>
      </c>
      <c r="AI33" s="14">
        <f>IF('Données projet'!$A$62&gt;35,AI32+AH33-AQ32,IF(A33&lt;'Données projet'!$A$62,$AF$205^A33,IF(A33='Données projet'!$A$62,'Données projet'!$B$62,AI32+AH33-AQ32)))</f>
        <v>421</v>
      </c>
      <c r="AJ33" s="14">
        <f>AI33*VLOOKUP('Données projet'!$B$10,Paramètres!$A$1:$I$89,3,0)*VLOOKUP('Données projet'!$B$10,Paramètres!$A$1:$I$89,5,0)</f>
        <v>235.339</v>
      </c>
      <c r="AK33" s="14">
        <f t="shared" si="35"/>
        <v>57.43555185051494</v>
      </c>
      <c r="AL33" s="22">
        <f t="shared" si="4"/>
        <v>509.91567780631357</v>
      </c>
      <c r="AM33" s="62">
        <f t="shared" si="5"/>
        <v>803.24901113964688</v>
      </c>
      <c r="AN33" s="62">
        <f ca="1">AVERAGE(OFFSET($AM$3,0,0,'Données projet'!$E$10+1,1))-AVERAGE(OFFSET($H$3,0,0,'Données projet'!$E$10+1,1))</f>
        <v>382.55387448074327</v>
      </c>
      <c r="AO33" s="62">
        <f t="shared" si="36"/>
        <v>476.29465646955543</v>
      </c>
      <c r="AP33" s="16">
        <f>IF(ISNA(VLOOKUP(A33,'Données projet'!$A$61:$I$81,3,0)),0,VLOOKUP(A33,'Données projet'!$A$61:$I$81,3,0))</f>
        <v>3</v>
      </c>
      <c r="AQ33" s="16">
        <f>IF(ISNA(VLOOKUP(A33,'Données projet'!$A$61:$I$81,4,0)),0,VLOOKUP(A33,'Données projet'!$A$61:$I$81,4,0))</f>
        <v>54</v>
      </c>
      <c r="AR33" s="17">
        <f>IF(ISNA(VLOOKUP(A33,'Données projet'!$A$61:$I$81,5,0)),0%,VLOOKUP(A33,'Données projet'!$A$61:$I$81,5,0)*VLOOKUP('Données projet'!$B$10,Paramètres!$A$1:$I$89,7,0))</f>
        <v>0.1925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0.65</v>
      </c>
      <c r="AU33" s="23">
        <f>EXP(-LN(2)/35)*AU32+(1-EXP(-LN(2)/35))/(LN(2)/35)*AQ33*AR33*VLOOKUP('Données projet'!$B$10,Paramètres!$A$1:$I$89,3,0)*0.475*44/12</f>
        <v>12.695326634232808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26.746764317095245</v>
      </c>
      <c r="AX33" s="23">
        <f t="shared" si="6"/>
        <v>39.442090951328055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2">
        <f t="shared" si="32"/>
        <v>5.0172142492270986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70">
        <f t="shared" si="1"/>
        <v>328.04163981740385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7</v>
      </c>
      <c r="N34" s="14">
        <f>IF('Données projet'!$A$36&gt;35,N33+M34-V33,IF(A34&lt;'Données projet'!$A$36,$K$205^A34,IF(A34='Données projet'!$A$36,'Données projet'!$B$36,N33+M34-V33)))</f>
        <v>187</v>
      </c>
      <c r="O34" s="14">
        <f>N34*VLOOKUP('Données projet'!$B$9,Paramètres!$A$1:$I$89,3,0)*VLOOKUP('Données projet'!$B$9,Paramètres!$A$1:$I$89,5,0)</f>
        <v>87.515999999999991</v>
      </c>
      <c r="P34" s="14">
        <f t="shared" si="33"/>
        <v>23.965171662037644</v>
      </c>
      <c r="Q34" s="22">
        <f t="shared" si="2"/>
        <v>194.16304064471555</v>
      </c>
      <c r="R34" s="62">
        <f t="shared" si="0"/>
        <v>487.49637397804884</v>
      </c>
      <c r="S34" s="62">
        <f ca="1">AVERAGE(OFFSET($R$3,0,0,'Données projet'!$E$9+1,1))-AVERAGE(OFFSET($H$3,0,0,'Données projet'!$E$9+1,1))</f>
        <v>173.76802753906867</v>
      </c>
      <c r="T34" s="62">
        <f t="shared" si="34"/>
        <v>153.4527010894717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27.6</v>
      </c>
      <c r="AI34" s="14">
        <f>IF('Données projet'!$A$62&gt;35,AI33+AH34-AQ33,IF(A34&lt;'Données projet'!$A$62,$AF$205^A34,IF(A34='Données projet'!$A$62,'Données projet'!$B$62,AI33+AH34-AQ33)))</f>
        <v>394.6</v>
      </c>
      <c r="AJ34" s="14">
        <f>AI34*VLOOKUP('Données projet'!$B$10,Paramètres!$A$1:$I$89,3,0)*VLOOKUP('Données projet'!$B$10,Paramètres!$A$1:$I$89,5,0)</f>
        <v>220.5814</v>
      </c>
      <c r="AK34" s="14">
        <f t="shared" si="35"/>
        <v>54.241230721401301</v>
      </c>
      <c r="AL34" s="22">
        <f t="shared" si="4"/>
        <v>478.64941517310723</v>
      </c>
      <c r="AM34" s="62">
        <f t="shared" si="5"/>
        <v>771.98274850644054</v>
      </c>
      <c r="AN34" s="62">
        <f ca="1">AVERAGE(OFFSET($AM$3,0,0,'Données projet'!$E$10+1,1))-AVERAGE(OFFSET($H$3,0,0,'Données projet'!$E$10+1,1))</f>
        <v>382.55387448074327</v>
      </c>
      <c r="AO34" s="62">
        <f t="shared" si="36"/>
        <v>476.29465646955543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12.446379022320153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18.912818423416425</v>
      </c>
      <c r="AX34" s="23">
        <f t="shared" si="6"/>
        <v>31.359197445736577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2">
        <f t="shared" si="32"/>
        <v>5.1599557252083068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70">
        <f t="shared" si="1"/>
        <v>329.12798955473778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7</v>
      </c>
      <c r="N35" s="14">
        <f>IF('Données projet'!$A$36&gt;35,N34+M35-V34,IF(A35&lt;'Données projet'!$A$36,$K$205^A35,IF(A35='Données projet'!$A$36,'Données projet'!$B$36,N34+M35-V34)))</f>
        <v>194</v>
      </c>
      <c r="O35" s="14">
        <f>N35*VLOOKUP('Données projet'!$B$9,Paramètres!$A$1:$I$89,3,0)*VLOOKUP('Données projet'!$B$9,Paramètres!$A$1:$I$89,5,0)</f>
        <v>90.792000000000002</v>
      </c>
      <c r="P35" s="14">
        <f t="shared" si="33"/>
        <v>24.756138813110173</v>
      </c>
      <c r="Q35" s="22">
        <f t="shared" ref="Q35:Q66" si="53">(O35+P35)*0.475*44/12</f>
        <v>201.24634176616689</v>
      </c>
      <c r="R35" s="62">
        <f t="shared" si="0"/>
        <v>494.57967509950021</v>
      </c>
      <c r="S35" s="62">
        <f ca="1">AVERAGE(OFFSET($R$3,0,0,'Données projet'!$E$9+1,1))-AVERAGE(OFFSET($H$3,0,0,'Données projet'!$E$9+1,1))</f>
        <v>173.76802753906867</v>
      </c>
      <c r="T35" s="62">
        <f t="shared" si="34"/>
        <v>153.4527010894717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27.6</v>
      </c>
      <c r="AI35" s="14">
        <f>IF('Données projet'!$A$62&gt;35,AI34+AH35-AQ34,IF(A35&lt;'Données projet'!$A$62,$AF$205^A35,IF(A35='Données projet'!$A$62,'Données projet'!$B$62,AI34+AH35-AQ34)))</f>
        <v>422.20000000000005</v>
      </c>
      <c r="AJ35" s="14">
        <f>AI35*VLOOKUP('Données projet'!$B$10,Paramètres!$A$1:$I$89,3,0)*VLOOKUP('Données projet'!$B$10,Paramètres!$A$1:$I$89,5,0)</f>
        <v>236.00980000000004</v>
      </c>
      <c r="AK35" s="14">
        <f t="shared" si="35"/>
        <v>57.580183613654185</v>
      </c>
      <c r="AL35" s="22">
        <f t="shared" si="4"/>
        <v>511.3358881271144</v>
      </c>
      <c r="AM35" s="62">
        <f t="shared" si="5"/>
        <v>804.66922146044772</v>
      </c>
      <c r="AN35" s="62">
        <f ca="1">AVERAGE(OFFSET($AM$3,0,0,'Données projet'!$E$10+1,1))-AVERAGE(OFFSET($H$3,0,0,'Données projet'!$E$10+1,1))</f>
        <v>382.55387448074327</v>
      </c>
      <c r="AO35" s="62">
        <f t="shared" si="36"/>
        <v>476.29465646955543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12.202313121234056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13.373382158547624</v>
      </c>
      <c r="AX35" s="23">
        <f t="shared" si="6"/>
        <v>25.57569527978168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2">
        <f t="shared" si="32"/>
        <v>5.3021788331229462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70">
        <f t="shared" si="1"/>
        <v>330.21343646768912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7</v>
      </c>
      <c r="N36" s="14">
        <f>IF('Données projet'!$A$36&gt;35,N35+M36-V35,IF(A36&lt;'Données projet'!$A$36,$K$205^A36,IF(A36='Données projet'!$A$36,'Données projet'!$B$36,N35+M36-V35)))</f>
        <v>201</v>
      </c>
      <c r="O36" s="14">
        <f>N36*VLOOKUP('Données projet'!$B$9,Paramètres!$A$1:$I$89,3,0)*VLOOKUP('Données projet'!$B$9,Paramètres!$A$1:$I$89,5,0)</f>
        <v>94.067999999999998</v>
      </c>
      <c r="P36" s="14">
        <f t="shared" si="33"/>
        <v>25.543790108694029</v>
      </c>
      <c r="Q36" s="22">
        <f t="shared" si="53"/>
        <v>208.32386777264207</v>
      </c>
      <c r="R36" s="62">
        <f t="shared" si="0"/>
        <v>501.65720110597539</v>
      </c>
      <c r="S36" s="62">
        <f ca="1">AVERAGE(OFFSET($R$3,0,0,'Données projet'!$E$9+1,1))-AVERAGE(OFFSET($H$3,0,0,'Données projet'!$E$9+1,1))</f>
        <v>173.76802753906867</v>
      </c>
      <c r="T36" s="62">
        <f t="shared" si="34"/>
        <v>153.4527010894717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27.6</v>
      </c>
      <c r="AI36" s="14">
        <f>IF('Données projet'!$A$62&gt;35,AI35+AH36-AQ35,IF(A36&lt;'Données projet'!$A$62,$AF$205^A36,IF(A36='Données projet'!$A$62,'Données projet'!$B$62,AI35+AH36-AQ35)))</f>
        <v>449.80000000000007</v>
      </c>
      <c r="AJ36" s="14">
        <f>AI36*VLOOKUP('Données projet'!$B$10,Paramètres!$A$1:$I$89,3,0)*VLOOKUP('Données projet'!$B$10,Paramètres!$A$1:$I$89,5,0)</f>
        <v>251.43820000000002</v>
      </c>
      <c r="AK36" s="14">
        <f t="shared" si="35"/>
        <v>60.893806844597648</v>
      </c>
      <c r="AL36" s="22">
        <f t="shared" si="4"/>
        <v>543.978245254341</v>
      </c>
      <c r="AM36" s="62">
        <f t="shared" si="5"/>
        <v>837.31157858767438</v>
      </c>
      <c r="AN36" s="62">
        <f ca="1">AVERAGE(OFFSET($AM$3,0,0,'Données projet'!$E$10+1,1))-AVERAGE(OFFSET($H$3,0,0,'Données projet'!$E$10+1,1))</f>
        <v>382.55387448074327</v>
      </c>
      <c r="AO36" s="62">
        <f t="shared" si="36"/>
        <v>476.29465646955543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11.963033203602757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9.4564092117082144</v>
      </c>
      <c r="AX36" s="23">
        <f t="shared" si="6"/>
        <v>21.419442415310971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2">
        <f t="shared" si="32"/>
        <v>5.4439010840635174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70">
        <f t="shared" si="1"/>
        <v>331.29801105474394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7</v>
      </c>
      <c r="N37" s="14">
        <f>IF('Données projet'!$A$36&gt;35,N36+M37-V36,IF(A37&lt;'Données projet'!$A$36,$K$205^A37,IF(A37='Données projet'!$A$36,'Données projet'!$B$36,N36+M37-V36)))</f>
        <v>208</v>
      </c>
      <c r="O37" s="14">
        <f>N37*VLOOKUP('Données projet'!$B$9,Paramètres!$A$1:$I$89,3,0)*VLOOKUP('Données projet'!$B$9,Paramètres!$A$1:$I$89,5,0)</f>
        <v>97.343999999999994</v>
      </c>
      <c r="P37" s="14">
        <f t="shared" si="33"/>
        <v>26.328254259866451</v>
      </c>
      <c r="Q37" s="22">
        <f t="shared" si="53"/>
        <v>215.39584283593408</v>
      </c>
      <c r="R37" s="62">
        <f t="shared" si="0"/>
        <v>508.72917616926736</v>
      </c>
      <c r="S37" s="62">
        <f ca="1">AVERAGE(OFFSET($R$3,0,0,'Données projet'!$E$9+1,1))-AVERAGE(OFFSET($H$3,0,0,'Données projet'!$E$9+1,1))</f>
        <v>173.76802753906867</v>
      </c>
      <c r="T37" s="62">
        <f t="shared" si="34"/>
        <v>153.4527010894717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27.6</v>
      </c>
      <c r="AI37" s="14">
        <f>IF('Données projet'!$A$62&gt;35,AI36+AH37-AQ36,IF(A37&lt;'Données projet'!$A$62,$AF$205^A37,IF(A37='Données projet'!$A$62,'Données projet'!$B$62,AI36+AH37-AQ36)))</f>
        <v>477.40000000000009</v>
      </c>
      <c r="AJ37" s="14">
        <f>AI37*VLOOKUP('Données projet'!$B$10,Paramètres!$A$1:$I$89,3,0)*VLOOKUP('Données projet'!$B$10,Paramètres!$A$1:$I$89,5,0)</f>
        <v>266.86660000000006</v>
      </c>
      <c r="AK37" s="14">
        <f t="shared" si="35"/>
        <v>64.183831628008477</v>
      </c>
      <c r="AL37" s="22">
        <f t="shared" si="4"/>
        <v>576.57950175211477</v>
      </c>
      <c r="AM37" s="62">
        <f t="shared" si="5"/>
        <v>869.91283508544802</v>
      </c>
      <c r="AN37" s="62">
        <f ca="1">AVERAGE(OFFSET($AM$3,0,0,'Données projet'!$E$10+1,1))-AVERAGE(OFFSET($H$3,0,0,'Données projet'!$E$10+1,1))</f>
        <v>382.55387448074327</v>
      </c>
      <c r="AO37" s="62">
        <f t="shared" si="36"/>
        <v>476.29465646955543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11.728445419209869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6.686691079273813</v>
      </c>
      <c r="AX37" s="23">
        <f t="shared" si="6"/>
        <v>18.415136498483683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2">
        <f t="shared" si="32"/>
        <v>5.5851389004969132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70">
        <f t="shared" si="1"/>
        <v>332.38174191836544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7</v>
      </c>
      <c r="N38" s="14">
        <f>IF('Données projet'!$A$36&gt;35,N37+M38-V37,IF(A38&lt;'Données projet'!$A$36,$K$205^A38,IF(A38='Données projet'!$A$36,'Données projet'!$B$36,N37+M38-V37)))</f>
        <v>215</v>
      </c>
      <c r="O38" s="14">
        <f>N38*VLOOKUP('Données projet'!$B$9,Paramètres!$A$1:$I$89,3,0)*VLOOKUP('Données projet'!$B$9,Paramètres!$A$1:$I$89,5,0)</f>
        <v>100.61999999999999</v>
      </c>
      <c r="P38" s="14">
        <f t="shared" si="33"/>
        <v>27.10965082293415</v>
      </c>
      <c r="Q38" s="22">
        <f t="shared" si="53"/>
        <v>222.46247518327695</v>
      </c>
      <c r="R38" s="62">
        <f t="shared" si="0"/>
        <v>515.79580851661024</v>
      </c>
      <c r="S38" s="62">
        <f ca="1">AVERAGE(OFFSET($R$3,0,0,'Données projet'!$E$9+1,1))-AVERAGE(OFFSET($H$3,0,0,'Données projet'!$E$9+1,1))</f>
        <v>173.76802753906867</v>
      </c>
      <c r="T38" s="62">
        <f t="shared" si="34"/>
        <v>153.4527010894717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505</v>
      </c>
      <c r="AG38" s="13">
        <f>VLOOKUP(A38,'Données projet'!$A$61:$I$81,9,0)</f>
        <v>27.6</v>
      </c>
      <c r="AH38" s="13">
        <f t="array" ref="AH38">INDEX(AG:AG,MIN(IF(ISNUMBER(AG38:AG234),ROW(AG38:AG234),"")))</f>
        <v>27.6</v>
      </c>
      <c r="AI38" s="14">
        <f>IF('Données projet'!$A$62&gt;35,AI37+AH38-AQ37,IF(A38&lt;'Données projet'!$A$62,$AF$205^A38,IF(A38='Données projet'!$A$62,'Données projet'!$B$62,AI37+AH38-AQ37)))</f>
        <v>505.00000000000011</v>
      </c>
      <c r="AJ38" s="14">
        <f>AI38*VLOOKUP('Données projet'!$B$10,Paramètres!$A$1:$I$89,3,0)*VLOOKUP('Données projet'!$B$10,Paramètres!$A$1:$I$89,5,0)</f>
        <v>282.29500000000007</v>
      </c>
      <c r="AK38" s="14">
        <f t="shared" si="35"/>
        <v>67.451777696853824</v>
      </c>
      <c r="AL38" s="22">
        <f t="shared" si="4"/>
        <v>609.14230448868716</v>
      </c>
      <c r="AM38" s="62">
        <f t="shared" si="5"/>
        <v>902.47563782202042</v>
      </c>
      <c r="AN38" s="62">
        <f ca="1">AVERAGE(OFFSET($AM$3,0,0,'Données projet'!$E$10+1,1))-AVERAGE(OFFSET($H$3,0,0,'Données projet'!$E$10+1,1))</f>
        <v>382.55387448074327</v>
      </c>
      <c r="AO38" s="62">
        <f t="shared" si="36"/>
        <v>476.29465646955543</v>
      </c>
      <c r="AP38" s="16">
        <f>IF(ISNA(VLOOKUP(A38,'Données projet'!$A$61:$I$81,3,0)),0,VLOOKUP(A38,'Données projet'!$A$61:$I$81,3,0))</f>
        <v>4</v>
      </c>
      <c r="AQ38" s="16">
        <f>IF(ISNA(VLOOKUP(A38,'Données projet'!$A$61:$I$81,4,0)),0,VLOOKUP(A38,'Données projet'!$A$61:$I$81,4,0))</f>
        <v>69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11.498457758184506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4.7282046058541081</v>
      </c>
      <c r="AX38" s="23">
        <f t="shared" si="6"/>
        <v>16.226662364038614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2">
        <f t="shared" si="32"/>
        <v>5.7259077130880893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70">
        <f t="shared" si="1"/>
        <v>333.46465593362842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7</v>
      </c>
      <c r="N39" s="14">
        <f>IF('Données projet'!$A$36&gt;35,N38+M39-V38,IF(A39&lt;'Données projet'!$A$36,$K$205^A39,IF(A39='Données projet'!$A$36,'Données projet'!$B$36,N38+M39-V38)))</f>
        <v>222</v>
      </c>
      <c r="O39" s="14">
        <f>N39*VLOOKUP('Données projet'!$B$9,Paramètres!$A$1:$I$89,3,0)*VLOOKUP('Données projet'!$B$9,Paramètres!$A$1:$I$89,5,0)</f>
        <v>103.896</v>
      </c>
      <c r="P39" s="14">
        <f t="shared" si="33"/>
        <v>27.888091127225799</v>
      </c>
      <c r="Q39" s="22">
        <f t="shared" si="53"/>
        <v>229.52395871325157</v>
      </c>
      <c r="R39" s="62">
        <f t="shared" si="0"/>
        <v>522.85729204658492</v>
      </c>
      <c r="S39" s="62">
        <f ca="1">AVERAGE(OFFSET($R$3,0,0,'Données projet'!$E$9+1,1))-AVERAGE(OFFSET($H$3,0,0,'Données projet'!$E$9+1,1))</f>
        <v>173.76802753906867</v>
      </c>
      <c r="T39" s="62">
        <f t="shared" si="34"/>
        <v>153.4527010894717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25.6</v>
      </c>
      <c r="AI39" s="14">
        <f>IF('Données projet'!$A$62&gt;35,AI38+AH39-AQ38,IF(A39&lt;'Données projet'!$A$62,$AF$205^A39,IF(A39='Données projet'!$A$62,'Données projet'!$B$62,AI38+AH39-AQ38)))</f>
        <v>461.60000000000014</v>
      </c>
      <c r="AJ39" s="14">
        <f>AI39*VLOOKUP('Données projet'!$B$10,Paramètres!$A$1:$I$89,3,0)*VLOOKUP('Données projet'!$B$10,Paramètres!$A$1:$I$89,5,0)</f>
        <v>258.03440000000006</v>
      </c>
      <c r="AK39" s="14">
        <f t="shared" si="35"/>
        <v>62.303206596431174</v>
      </c>
      <c r="AL39" s="22">
        <f t="shared" si="4"/>
        <v>557.9213314887844</v>
      </c>
      <c r="AM39" s="62">
        <f t="shared" si="5"/>
        <v>851.25466482211777</v>
      </c>
      <c r="AN39" s="62">
        <f ca="1">AVERAGE(OFFSET($AM$3,0,0,'Données projet'!$E$10+1,1))-AVERAGE(OFFSET($H$3,0,0,'Données projet'!$E$10+1,1))</f>
        <v>382.55387448074327</v>
      </c>
      <c r="AO39" s="62">
        <f t="shared" si="36"/>
        <v>476.29465646955543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11.272980014913227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3.3433455396369074</v>
      </c>
      <c r="AX39" s="23">
        <f t="shared" si="6"/>
        <v>14.616325554550134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2">
        <f t="shared" si="32"/>
        <v>5.8662220464630659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70">
        <f t="shared" si="1"/>
        <v>334.54677839758983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7</v>
      </c>
      <c r="N40" s="14">
        <f>IF('Données projet'!$A$36&gt;35,N39+M40-V39,IF(A40&lt;'Données projet'!$A$36,$K$205^A40,IF(A40='Données projet'!$A$36,'Données projet'!$B$36,N39+M40-V39)))</f>
        <v>229</v>
      </c>
      <c r="O40" s="14">
        <f>N40*VLOOKUP('Données projet'!$B$9,Paramètres!$A$1:$I$89,3,0)*VLOOKUP('Données projet'!$B$9,Paramètres!$A$1:$I$89,5,0)</f>
        <v>107.172</v>
      </c>
      <c r="P40" s="14">
        <f t="shared" si="33"/>
        <v>28.663679082578788</v>
      </c>
      <c r="Q40" s="22">
        <f t="shared" si="53"/>
        <v>236.58047440215805</v>
      </c>
      <c r="R40" s="62">
        <f t="shared" si="0"/>
        <v>529.91380773549133</v>
      </c>
      <c r="S40" s="62">
        <f ca="1">AVERAGE(OFFSET($R$3,0,0,'Données projet'!$E$9+1,1))-AVERAGE(OFFSET($H$3,0,0,'Données projet'!$E$9+1,1))</f>
        <v>173.76802753906867</v>
      </c>
      <c r="T40" s="62">
        <f t="shared" si="34"/>
        <v>153.4527010894717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25.6</v>
      </c>
      <c r="AI40" s="14">
        <f>IF('Données projet'!$A$62&gt;35,AI39+AH40-AQ39,IF(A40&lt;'Données projet'!$A$62,$AF$205^A40,IF(A40='Données projet'!$A$62,'Données projet'!$B$62,AI39+AH40-AQ39)))</f>
        <v>487.20000000000016</v>
      </c>
      <c r="AJ40" s="14">
        <f>AI40*VLOOKUP('Données projet'!$B$10,Paramètres!$A$1:$I$89,3,0)*VLOOKUP('Données projet'!$B$10,Paramètres!$A$1:$I$89,5,0)</f>
        <v>272.34480000000008</v>
      </c>
      <c r="AK40" s="14">
        <f t="shared" si="35"/>
        <v>65.346644318451709</v>
      </c>
      <c r="AL40" s="22">
        <f t="shared" si="4"/>
        <v>588.14593218797006</v>
      </c>
      <c r="AM40" s="62">
        <f t="shared" si="5"/>
        <v>881.47926552130343</v>
      </c>
      <c r="AN40" s="62">
        <f ca="1">AVERAGE(OFFSET($AM$3,0,0,'Données projet'!$E$10+1,1))-AVERAGE(OFFSET($H$3,0,0,'Données projet'!$E$10+1,1))</f>
        <v>382.55387448074327</v>
      </c>
      <c r="AO40" s="62">
        <f t="shared" si="36"/>
        <v>476.29465646955543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11.051923752659654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2.3641023029270545</v>
      </c>
      <c r="AX40" s="23">
        <f t="shared" si="6"/>
        <v>13.416026055586709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2">
        <f t="shared" si="32"/>
        <v>6.0060955954395361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70">
        <f t="shared" si="1"/>
        <v>335.62813316205717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7</v>
      </c>
      <c r="N41" s="14">
        <f>IF('Données projet'!$A$36&gt;35,N40+M41-V40,IF(A41&lt;'Données projet'!$A$36,$K$205^A41,IF(A41='Données projet'!$A$36,'Données projet'!$B$36,N40+M41-V40)))</f>
        <v>236</v>
      </c>
      <c r="O41" s="14">
        <f>N41*VLOOKUP('Données projet'!$B$9,Paramètres!$A$1:$I$89,3,0)*VLOOKUP('Données projet'!$B$9,Paramètres!$A$1:$I$89,5,0)</f>
        <v>110.44799999999999</v>
      </c>
      <c r="P41" s="14">
        <f t="shared" si="33"/>
        <v>29.436511885319565</v>
      </c>
      <c r="Q41" s="22">
        <f t="shared" si="53"/>
        <v>243.63219153359822</v>
      </c>
      <c r="R41" s="62">
        <f t="shared" si="0"/>
        <v>536.96552486693156</v>
      </c>
      <c r="S41" s="62">
        <f ca="1">AVERAGE(OFFSET($R$3,0,0,'Données projet'!$E$9+1,1))-AVERAGE(OFFSET($H$3,0,0,'Données projet'!$E$9+1,1))</f>
        <v>173.76802753906867</v>
      </c>
      <c r="T41" s="62">
        <f t="shared" si="34"/>
        <v>153.4527010894717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25.6</v>
      </c>
      <c r="AI41" s="14">
        <f>IF('Données projet'!$A$62&gt;35,AI40+AH41-AQ40,IF(A41&lt;'Données projet'!$A$62,$AF$205^A41,IF(A41='Données projet'!$A$62,'Données projet'!$B$62,AI40+AH41-AQ40)))</f>
        <v>512.80000000000018</v>
      </c>
      <c r="AJ41" s="14">
        <f>AI41*VLOOKUP('Données projet'!$B$10,Paramètres!$A$1:$I$89,3,0)*VLOOKUP('Données projet'!$B$10,Paramètres!$A$1:$I$89,5,0)</f>
        <v>286.65520000000009</v>
      </c>
      <c r="AK41" s="14">
        <f t="shared" si="35"/>
        <v>68.37151538584105</v>
      </c>
      <c r="AL41" s="22">
        <f t="shared" si="4"/>
        <v>618.33819596367323</v>
      </c>
      <c r="AM41" s="62">
        <f t="shared" si="5"/>
        <v>911.6715292970066</v>
      </c>
      <c r="AN41" s="62">
        <f ca="1">AVERAGE(OFFSET($AM$3,0,0,'Données projet'!$E$10+1,1))-AVERAGE(OFFSET($H$3,0,0,'Données projet'!$E$10+1,1))</f>
        <v>382.55387448074327</v>
      </c>
      <c r="AO41" s="62">
        <f t="shared" si="36"/>
        <v>476.29465646955543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10.835202268877868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1.6716727698184539</v>
      </c>
      <c r="AX41" s="23">
        <f t="shared" si="6"/>
        <v>12.506875038696322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2">
        <f t="shared" si="32"/>
        <v>6.1455412930074749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70">
        <f t="shared" si="1"/>
        <v>336.70874275198798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7</v>
      </c>
      <c r="N42" s="14">
        <f>IF('Données projet'!$A$36&gt;35,N41+M42-V41,IF(A42&lt;'Données projet'!$A$36,$K$205^A42,IF(A42='Données projet'!$A$36,'Données projet'!$B$36,N41+M42-V41)))</f>
        <v>243</v>
      </c>
      <c r="O42" s="14">
        <f>N42*VLOOKUP('Données projet'!$B$9,Paramètres!$A$1:$I$89,3,0)*VLOOKUP('Données projet'!$B$9,Paramètres!$A$1:$I$89,5,0)</f>
        <v>113.72399999999999</v>
      </c>
      <c r="P42" s="14">
        <f t="shared" si="33"/>
        <v>30.206680638130489</v>
      </c>
      <c r="Q42" s="22">
        <f t="shared" si="53"/>
        <v>250.67926877807722</v>
      </c>
      <c r="R42" s="62">
        <f t="shared" si="0"/>
        <v>544.0126021114105</v>
      </c>
      <c r="S42" s="62">
        <f ca="1">AVERAGE(OFFSET($R$3,0,0,'Données projet'!$E$9+1,1))-AVERAGE(OFFSET($H$3,0,0,'Données projet'!$E$9+1,1))</f>
        <v>173.76802753906867</v>
      </c>
      <c r="T42" s="62">
        <f t="shared" si="34"/>
        <v>153.4527010894717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25.6</v>
      </c>
      <c r="AI42" s="14">
        <f>IF('Données projet'!$A$62&gt;35,AI41+AH42-AQ41,IF(A42&lt;'Données projet'!$A$62,$AF$205^A42,IF(A42='Données projet'!$A$62,'Données projet'!$B$62,AI41+AH42-AQ41)))</f>
        <v>538.4000000000002</v>
      </c>
      <c r="AJ42" s="14">
        <f>AI42*VLOOKUP('Données projet'!$B$10,Paramètres!$A$1:$I$89,3,0)*VLOOKUP('Données projet'!$B$10,Paramètres!$A$1:$I$89,5,0)</f>
        <v>300.96560000000011</v>
      </c>
      <c r="AK42" s="14">
        <f t="shared" si="35"/>
        <v>71.378852450242803</v>
      </c>
      <c r="AL42" s="22">
        <f t="shared" si="4"/>
        <v>648.49992135083971</v>
      </c>
      <c r="AM42" s="62">
        <f t="shared" si="5"/>
        <v>941.83325468417297</v>
      </c>
      <c r="AN42" s="62">
        <f ca="1">AVERAGE(OFFSET($AM$3,0,0,'Données projet'!$E$10+1,1))-AVERAGE(OFFSET($H$3,0,0,'Données projet'!$E$10+1,1))</f>
        <v>382.55387448074327</v>
      </c>
      <c r="AO42" s="62">
        <f t="shared" si="36"/>
        <v>476.29465646955543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10.622730561205991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1.1820511514635275</v>
      </c>
      <c r="AX42" s="23">
        <f t="shared" si="6"/>
        <v>11.804781712669518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2">
        <f t="shared" si="32"/>
        <v>6.2845713711411841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70">
        <f t="shared" si="1"/>
        <v>337.78862847140419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250</v>
      </c>
      <c r="L43" s="13">
        <f>VLOOKUP(A43,'Données projet'!$A$35:$I$55,9,0)</f>
        <v>7</v>
      </c>
      <c r="M43" s="13">
        <f t="array" ref="M43">INDEX(L:L,MIN(IF(ISNUMBER(L43:L239),ROW(L43:L239),"")))</f>
        <v>7</v>
      </c>
      <c r="N43" s="14">
        <f>IF('Données projet'!$A$36&gt;35,N42+M43-V42,IF(A43&lt;'Données projet'!$A$36,$K$205^A43,IF(A43='Données projet'!$A$36,'Données projet'!$B$36,N42+M43-V42)))</f>
        <v>250</v>
      </c>
      <c r="O43" s="14">
        <f>N43*VLOOKUP('Données projet'!$B$9,Paramètres!$A$1:$I$89,3,0)*VLOOKUP('Données projet'!$B$9,Paramètres!$A$1:$I$89,5,0)</f>
        <v>117</v>
      </c>
      <c r="P43" s="14">
        <f t="shared" si="33"/>
        <v>30.974270896484146</v>
      </c>
      <c r="Q43" s="22">
        <f t="shared" si="53"/>
        <v>257.72185514470988</v>
      </c>
      <c r="R43" s="62">
        <f t="shared" si="0"/>
        <v>551.05518847804319</v>
      </c>
      <c r="S43" s="62">
        <f ca="1">AVERAGE(OFFSET($R$3,0,0,'Données projet'!$E$9+1,1))-AVERAGE(OFFSET($H$3,0,0,'Données projet'!$E$9+1,1))</f>
        <v>173.76802753906867</v>
      </c>
      <c r="T43" s="62">
        <f t="shared" si="34"/>
        <v>153.4527010894717</v>
      </c>
      <c r="U43" s="16">
        <f>IF(ISNA(VLOOKUP(A43,'Données projet'!$A$35:$I$55,3,0)),0,VLOOKUP(A43,'Données projet'!$A$35:$I$55,3,0))</f>
        <v>3</v>
      </c>
      <c r="V43" s="16">
        <f>IF(ISNA(VLOOKUP(A43,'Données projet'!$A$35:$I$55,4,0)),0,VLOOKUP(A43,'Données projet'!$A$35:$I$55,4,0))</f>
        <v>63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564</v>
      </c>
      <c r="AG43" s="13">
        <f>VLOOKUP(A43,'Données projet'!$A$61:$I$81,9,0)</f>
        <v>25.6</v>
      </c>
      <c r="AH43" s="13">
        <f t="array" ref="AH43">INDEX(AG:AG,MIN(IF(ISNUMBER(AG43:AG239),ROW(AG43:AG239),"")))</f>
        <v>25.6</v>
      </c>
      <c r="AI43" s="14">
        <f>IF('Données projet'!$A$62&gt;35,AI42+AH43-AQ42,IF(A43&lt;'Données projet'!$A$62,$AF$205^A43,IF(A43='Données projet'!$A$62,'Données projet'!$B$62,AI42+AH43-AQ42)))</f>
        <v>564.00000000000023</v>
      </c>
      <c r="AJ43" s="14">
        <f>AI43*VLOOKUP('Données projet'!$B$10,Paramètres!$A$1:$I$89,3,0)*VLOOKUP('Données projet'!$B$10,Paramètres!$A$1:$I$89,5,0)</f>
        <v>315.27600000000012</v>
      </c>
      <c r="AK43" s="14">
        <f t="shared" si="35"/>
        <v>74.36958441265493</v>
      </c>
      <c r="AL43" s="22">
        <f t="shared" si="4"/>
        <v>678.63272618537417</v>
      </c>
      <c r="AM43" s="62">
        <f t="shared" si="5"/>
        <v>971.96605951870743</v>
      </c>
      <c r="AN43" s="62">
        <f ca="1">AVERAGE(OFFSET($AM$3,0,0,'Données projet'!$E$10+1,1))-AVERAGE(OFFSET($H$3,0,0,'Données projet'!$E$10+1,1))</f>
        <v>382.55387448074327</v>
      </c>
      <c r="AO43" s="62">
        <f t="shared" si="36"/>
        <v>476.29465646955543</v>
      </c>
      <c r="AP43" s="16">
        <f>IF(ISNA(VLOOKUP(A43,'Données projet'!$A$61:$I$81,3,0)),0,VLOOKUP(A43,'Données projet'!$A$61:$I$81,3,0))</f>
        <v>5</v>
      </c>
      <c r="AQ43" s="16">
        <f>IF(ISNA(VLOOKUP(A43,'Données projet'!$A$61:$I$81,4,0)),0,VLOOKUP(A43,'Données projet'!$A$61:$I$81,4,0))</f>
        <v>72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10.414425294126612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0.83583638490922707</v>
      </c>
      <c r="AX43" s="23">
        <f t="shared" si="6"/>
        <v>11.250261679035839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2">
        <f t="shared" si="32"/>
        <v>6.4231974153589526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70">
        <f t="shared" si="1"/>
        <v>338.86781049841682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7</v>
      </c>
      <c r="N44" s="14">
        <f>IF('Données projet'!$A$36&gt;35,N43+M44-V43,IF(A44&lt;'Données projet'!$A$36,$K$205^A44,IF(A44='Données projet'!$A$36,'Données projet'!$B$36,N43+M44-V43)))</f>
        <v>194</v>
      </c>
      <c r="O44" s="14">
        <f>N44*VLOOKUP('Données projet'!$B$9,Paramètres!$A$1:$I$89,3,0)*VLOOKUP('Données projet'!$B$9,Paramètres!$A$1:$I$89,5,0)</f>
        <v>90.792000000000002</v>
      </c>
      <c r="P44" s="14">
        <f t="shared" si="33"/>
        <v>24.756138813110173</v>
      </c>
      <c r="Q44" s="22">
        <f t="shared" si="53"/>
        <v>201.24634176616689</v>
      </c>
      <c r="R44" s="62">
        <f t="shared" si="0"/>
        <v>494.57967509950021</v>
      </c>
      <c r="S44" s="62">
        <f ca="1">AVERAGE(OFFSET($R$3,0,0,'Données projet'!$E$9+1,1))-AVERAGE(OFFSET($H$3,0,0,'Données projet'!$E$9+1,1))</f>
        <v>173.76802753906867</v>
      </c>
      <c r="T44" s="62">
        <f t="shared" si="34"/>
        <v>153.4527010894717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22.8</v>
      </c>
      <c r="AI44" s="14">
        <f>IF('Données projet'!$A$62&gt;35,AI43+AH44-AQ43,IF(A44&lt;'Données projet'!$A$62,$AF$205^A44,IF(A44='Données projet'!$A$62,'Données projet'!$B$62,AI43+AH44-AQ43)))</f>
        <v>514.80000000000018</v>
      </c>
      <c r="AJ44" s="14">
        <f>AI44*VLOOKUP('Données projet'!$B$10,Paramètres!$A$1:$I$89,3,0)*VLOOKUP('Données projet'!$B$10,Paramètres!$A$1:$I$89,5,0)</f>
        <v>287.77320000000009</v>
      </c>
      <c r="AK44" s="14">
        <f t="shared" si="35"/>
        <v>68.607082381743922</v>
      </c>
      <c r="AL44" s="22">
        <f t="shared" si="4"/>
        <v>620.69565848153741</v>
      </c>
      <c r="AM44" s="62">
        <f t="shared" si="5"/>
        <v>914.02899181487078</v>
      </c>
      <c r="AN44" s="62">
        <f ca="1">AVERAGE(OFFSET($AM$3,0,0,'Données projet'!$E$10+1,1))-AVERAGE(OFFSET($H$3,0,0,'Données projet'!$E$10+1,1))</f>
        <v>382.55387448074327</v>
      </c>
      <c r="AO44" s="62">
        <f t="shared" si="36"/>
        <v>476.29465646955543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10.210204766280993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0.59102557573176373</v>
      </c>
      <c r="AX44" s="23">
        <f t="shared" si="6"/>
        <v>10.801230342012758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2">
        <f t="shared" si="32"/>
        <v>6.5614304138099335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70">
        <f t="shared" si="1"/>
        <v>339.94630797071898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7</v>
      </c>
      <c r="N45" s="14">
        <f>IF('Données projet'!$A$36&gt;35,N44+M45-V44,IF(A45&lt;'Données projet'!$A$36,$K$205^A45,IF(A45='Données projet'!$A$36,'Données projet'!$B$36,N44+M45-V44)))</f>
        <v>201</v>
      </c>
      <c r="O45" s="14">
        <f>N45*VLOOKUP('Données projet'!$B$9,Paramètres!$A$1:$I$89,3,0)*VLOOKUP('Données projet'!$B$9,Paramètres!$A$1:$I$89,5,0)</f>
        <v>94.067999999999998</v>
      </c>
      <c r="P45" s="14">
        <f t="shared" si="33"/>
        <v>25.543790108694029</v>
      </c>
      <c r="Q45" s="22">
        <f t="shared" si="53"/>
        <v>208.32386777264207</v>
      </c>
      <c r="R45" s="62">
        <f t="shared" si="0"/>
        <v>501.65720110597539</v>
      </c>
      <c r="S45" s="62">
        <f ca="1">AVERAGE(OFFSET($R$3,0,0,'Données projet'!$E$9+1,1))-AVERAGE(OFFSET($H$3,0,0,'Données projet'!$E$9+1,1))</f>
        <v>173.76802753906867</v>
      </c>
      <c r="T45" s="62">
        <f t="shared" si="34"/>
        <v>153.4527010894717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22.8</v>
      </c>
      <c r="AI45" s="14">
        <f>IF('Données projet'!$A$62&gt;35,AI44+AH45-AQ44,IF(A45&lt;'Données projet'!$A$62,$AF$205^A45,IF(A45='Données projet'!$A$62,'Données projet'!$B$62,AI44+AH45-AQ44)))</f>
        <v>537.60000000000014</v>
      </c>
      <c r="AJ45" s="14">
        <f>AI45*VLOOKUP('Données projet'!$B$10,Paramètres!$A$1:$I$89,3,0)*VLOOKUP('Données projet'!$B$10,Paramètres!$A$1:$I$89,5,0)</f>
        <v>300.5184000000001</v>
      </c>
      <c r="AK45" s="14">
        <f t="shared" si="35"/>
        <v>71.285129105116411</v>
      </c>
      <c r="AL45" s="22">
        <f t="shared" si="4"/>
        <v>647.55781319141124</v>
      </c>
      <c r="AM45" s="62">
        <f t="shared" si="5"/>
        <v>940.8911465247445</v>
      </c>
      <c r="AN45" s="62">
        <f ca="1">AVERAGE(OFFSET($AM$3,0,0,'Données projet'!$E$10+1,1))-AVERAGE(OFFSET($H$3,0,0,'Données projet'!$E$10+1,1))</f>
        <v>382.55387448074327</v>
      </c>
      <c r="AO45" s="62">
        <f t="shared" si="36"/>
        <v>476.29465646955543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10.009988878424204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0.41791819245461354</v>
      </c>
      <c r="AX45" s="23">
        <f t="shared" si="6"/>
        <v>10.427907070878819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2">
        <f t="shared" si="32"/>
        <v>6.6992808015544414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70">
        <f t="shared" si="1"/>
        <v>341.02413906270732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7</v>
      </c>
      <c r="N46" s="14">
        <f>IF('Données projet'!$A$36&gt;35,N45+M46-V45,IF(A46&lt;'Données projet'!$A$36,$K$205^A46,IF(A46='Données projet'!$A$36,'Données projet'!$B$36,N45+M46-V45)))</f>
        <v>208</v>
      </c>
      <c r="O46" s="14">
        <f>N46*VLOOKUP('Données projet'!$B$9,Paramètres!$A$1:$I$89,3,0)*VLOOKUP('Données projet'!$B$9,Paramètres!$A$1:$I$89,5,0)</f>
        <v>97.343999999999994</v>
      </c>
      <c r="P46" s="14">
        <f t="shared" si="33"/>
        <v>26.328254259866451</v>
      </c>
      <c r="Q46" s="22">
        <f t="shared" si="53"/>
        <v>215.39584283593408</v>
      </c>
      <c r="R46" s="62">
        <f t="shared" si="0"/>
        <v>508.72917616926736</v>
      </c>
      <c r="S46" s="62">
        <f ca="1">AVERAGE(OFFSET($R$3,0,0,'Données projet'!$E$9+1,1))-AVERAGE(OFFSET($H$3,0,0,'Données projet'!$E$9+1,1))</f>
        <v>173.76802753906867</v>
      </c>
      <c r="T46" s="62">
        <f t="shared" si="34"/>
        <v>153.4527010894717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22.8</v>
      </c>
      <c r="AI46" s="14">
        <f>IF('Données projet'!$A$62&gt;35,AI45+AH46-AQ45,IF(A46&lt;'Données projet'!$A$62,$AF$205^A46,IF(A46='Données projet'!$A$62,'Données projet'!$B$62,AI45+AH46-AQ45)))</f>
        <v>560.40000000000009</v>
      </c>
      <c r="AJ46" s="14">
        <f>AI46*VLOOKUP('Données projet'!$B$10,Paramètres!$A$1:$I$89,3,0)*VLOOKUP('Données projet'!$B$10,Paramètres!$A$1:$I$89,5,0)</f>
        <v>313.26360000000005</v>
      </c>
      <c r="AK46" s="14">
        <f t="shared" si="35"/>
        <v>73.949983766039026</v>
      </c>
      <c r="AL46" s="22">
        <f t="shared" si="4"/>
        <v>674.39699172585131</v>
      </c>
      <c r="AM46" s="62">
        <f t="shared" si="5"/>
        <v>967.73032505918468</v>
      </c>
      <c r="AN46" s="62">
        <f ca="1">AVERAGE(OFFSET($AM$3,0,0,'Données projet'!$E$10+1,1))-AVERAGE(OFFSET($H$3,0,0,'Données projet'!$E$10+1,1))</f>
        <v>382.55387448074327</v>
      </c>
      <c r="AO46" s="62">
        <f t="shared" si="36"/>
        <v>476.29465646955543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9.8136991020086537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0.29551278786588187</v>
      </c>
      <c r="AX46" s="23">
        <f t="shared" si="6"/>
        <v>10.109211889874535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2">
        <f t="shared" si="32"/>
        <v>6.8367585006090259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70">
        <f t="shared" si="1"/>
        <v>342.1013210552274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7</v>
      </c>
      <c r="N47" s="14">
        <f>IF('Données projet'!$A$36&gt;35,N46+M47-V46,IF(A47&lt;'Données projet'!$A$36,$K$205^A47,IF(A47='Données projet'!$A$36,'Données projet'!$B$36,N46+M47-V46)))</f>
        <v>215</v>
      </c>
      <c r="O47" s="14">
        <f>N47*VLOOKUP('Données projet'!$B$9,Paramètres!$A$1:$I$89,3,0)*VLOOKUP('Données projet'!$B$9,Paramètres!$A$1:$I$89,5,0)</f>
        <v>100.61999999999999</v>
      </c>
      <c r="P47" s="14">
        <f t="shared" si="33"/>
        <v>27.10965082293415</v>
      </c>
      <c r="Q47" s="22">
        <f t="shared" si="53"/>
        <v>222.46247518327695</v>
      </c>
      <c r="R47" s="62">
        <f t="shared" si="0"/>
        <v>515.79580851661024</v>
      </c>
      <c r="S47" s="62">
        <f ca="1">AVERAGE(OFFSET($R$3,0,0,'Données projet'!$E$9+1,1))-AVERAGE(OFFSET($H$3,0,0,'Données projet'!$E$9+1,1))</f>
        <v>173.76802753906867</v>
      </c>
      <c r="T47" s="62">
        <f t="shared" si="34"/>
        <v>153.4527010894717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22.8</v>
      </c>
      <c r="AI47" s="14">
        <f>IF('Données projet'!$A$62&gt;35,AI46+AH47-AQ46,IF(A47&lt;'Données projet'!$A$62,$AF$205^A47,IF(A47='Données projet'!$A$62,'Données projet'!$B$62,AI46+AH47-AQ46)))</f>
        <v>583.20000000000005</v>
      </c>
      <c r="AJ47" s="14">
        <f>AI47*VLOOKUP('Données projet'!$B$10,Paramètres!$A$1:$I$89,3,0)*VLOOKUP('Données projet'!$B$10,Paramètres!$A$1:$I$89,5,0)</f>
        <v>326.00880000000001</v>
      </c>
      <c r="AK47" s="14">
        <f t="shared" si="35"/>
        <v>76.602244480772981</v>
      </c>
      <c r="AL47" s="22">
        <f t="shared" si="4"/>
        <v>701.2142358040129</v>
      </c>
      <c r="AM47" s="62">
        <f t="shared" si="5"/>
        <v>994.54756913734627</v>
      </c>
      <c r="AN47" s="62">
        <f ca="1">AVERAGE(OFFSET($AM$3,0,0,'Données projet'!$E$10+1,1))-AVERAGE(OFFSET($H$3,0,0,'Données projet'!$E$10+1,1))</f>
        <v>382.55387448074327</v>
      </c>
      <c r="AO47" s="62">
        <f t="shared" si="36"/>
        <v>476.29465646955543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9.6212584483836707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0.20895909622730677</v>
      </c>
      <c r="AX47" s="23">
        <f t="shared" si="6"/>
        <v>9.8302175446109779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2">
        <f t="shared" si="32"/>
        <v>6.973872956248516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70">
        <f t="shared" si="1"/>
        <v>343.17787039879954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7</v>
      </c>
      <c r="N48" s="14">
        <f>IF('Données projet'!$A$36&gt;35,N47+M48-V47,IF(A48&lt;'Données projet'!$A$36,$K$205^A48,IF(A48='Données projet'!$A$36,'Données projet'!$B$36,N47+M48-V47)))</f>
        <v>222</v>
      </c>
      <c r="O48" s="14">
        <f>N48*VLOOKUP('Données projet'!$B$9,Paramètres!$A$1:$I$89,3,0)*VLOOKUP('Données projet'!$B$9,Paramètres!$A$1:$I$89,5,0)</f>
        <v>103.896</v>
      </c>
      <c r="P48" s="14">
        <f t="shared" si="33"/>
        <v>27.888091127225799</v>
      </c>
      <c r="Q48" s="22">
        <f t="shared" si="53"/>
        <v>229.52395871325157</v>
      </c>
      <c r="R48" s="62">
        <f t="shared" si="0"/>
        <v>522.85729204658492</v>
      </c>
      <c r="S48" s="62">
        <f ca="1">AVERAGE(OFFSET($R$3,0,0,'Données projet'!$E$9+1,1))-AVERAGE(OFFSET($H$3,0,0,'Données projet'!$E$9+1,1))</f>
        <v>173.76802753906867</v>
      </c>
      <c r="T48" s="62">
        <f t="shared" si="34"/>
        <v>153.4527010894717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606</v>
      </c>
      <c r="AG48" s="13">
        <f>VLOOKUP(A48,'Données projet'!$A$61:$I$81,9,0)</f>
        <v>22.8</v>
      </c>
      <c r="AH48" s="13">
        <f t="array" ref="AH48">INDEX(AG:AG,MIN(IF(ISNUMBER(AG48:AG244),ROW(AG48:AG244),"")))</f>
        <v>22.8</v>
      </c>
      <c r="AI48" s="14">
        <f>IF('Données projet'!$A$62&gt;35,AI47+AH48-AQ47,IF(A48&lt;'Données projet'!$A$62,$AF$205^A48,IF(A48='Données projet'!$A$62,'Données projet'!$B$62,AI47+AH48-AQ47)))</f>
        <v>606</v>
      </c>
      <c r="AJ48" s="14">
        <f>AI48*VLOOKUP('Données projet'!$B$10,Paramètres!$A$1:$I$89,3,0)*VLOOKUP('Données projet'!$B$10,Paramètres!$A$1:$I$89,5,0)</f>
        <v>338.75400000000002</v>
      </c>
      <c r="AK48" s="14">
        <f t="shared" si="35"/>
        <v>79.242459951408904</v>
      </c>
      <c r="AL48" s="22">
        <f t="shared" si="4"/>
        <v>728.01050108203719</v>
      </c>
      <c r="AM48" s="62">
        <f t="shared" si="5"/>
        <v>1021.3438344153706</v>
      </c>
      <c r="AN48" s="62">
        <f ca="1">AVERAGE(OFFSET($AM$3,0,0,'Données projet'!$E$10+1,1))-AVERAGE(OFFSET($H$3,0,0,'Données projet'!$E$10+1,1))</f>
        <v>382.55387448074327</v>
      </c>
      <c r="AO48" s="62">
        <f t="shared" si="36"/>
        <v>476.29465646955543</v>
      </c>
      <c r="AP48" s="16">
        <f>IF(ISNA(VLOOKUP(A48,'Données projet'!$A$61:$I$81,3,0)),0,VLOOKUP(A48,'Données projet'!$A$61:$I$81,3,0))</f>
        <v>6</v>
      </c>
      <c r="AQ48" s="16">
        <f>IF(ISNA(VLOOKUP(A48,'Données projet'!$A$61:$I$81,4,0)),0,VLOOKUP(A48,'Données projet'!$A$61:$I$81,4,0))</f>
        <v>66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9.432591438599065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0.14775639393294093</v>
      </c>
      <c r="AX48" s="23">
        <f t="shared" si="6"/>
        <v>9.5803478325320057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2">
        <f t="shared" si="32"/>
        <v>7.1106331699901988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70">
        <f t="shared" si="1"/>
        <v>344.25380277106626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7</v>
      </c>
      <c r="N49" s="14">
        <f>IF('Données projet'!$A$36&gt;35,N48+M49-V48,IF(A49&lt;'Données projet'!$A$36,$K$205^A49,IF(A49='Données projet'!$A$36,'Données projet'!$B$36,N48+M49-V48)))</f>
        <v>229</v>
      </c>
      <c r="O49" s="14">
        <f>N49*VLOOKUP('Données projet'!$B$9,Paramètres!$A$1:$I$89,3,0)*VLOOKUP('Données projet'!$B$9,Paramètres!$A$1:$I$89,5,0)</f>
        <v>107.172</v>
      </c>
      <c r="P49" s="14">
        <f t="shared" si="33"/>
        <v>28.663679082578788</v>
      </c>
      <c r="Q49" s="22">
        <f t="shared" si="53"/>
        <v>236.58047440215805</v>
      </c>
      <c r="R49" s="62">
        <f t="shared" si="0"/>
        <v>529.91380773549133</v>
      </c>
      <c r="S49" s="62">
        <f ca="1">AVERAGE(OFFSET($R$3,0,0,'Données projet'!$E$9+1,1))-AVERAGE(OFFSET($H$3,0,0,'Données projet'!$E$9+1,1))</f>
        <v>173.76802753906867</v>
      </c>
      <c r="T49" s="62">
        <f t="shared" si="34"/>
        <v>153.4527010894717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17.8</v>
      </c>
      <c r="AI49" s="14">
        <f>IF('Données projet'!$A$62&gt;35,AI48+AH49-AQ48,IF(A49&lt;'Données projet'!$A$62,$AF$205^A49,IF(A49='Données projet'!$A$62,'Données projet'!$B$62,AI48+AH49-AQ48)))</f>
        <v>557.79999999999995</v>
      </c>
      <c r="AJ49" s="14">
        <f>AI49*VLOOKUP('Données projet'!$B$10,Paramètres!$A$1:$I$89,3,0)*VLOOKUP('Données projet'!$B$10,Paramètres!$A$1:$I$89,5,0)</f>
        <v>311.81020000000001</v>
      </c>
      <c r="AK49" s="14">
        <f t="shared" si="35"/>
        <v>73.646743780370684</v>
      </c>
      <c r="AL49" s="22">
        <f t="shared" si="4"/>
        <v>671.33751041747894</v>
      </c>
      <c r="AM49" s="62">
        <f t="shared" si="5"/>
        <v>964.67084375081231</v>
      </c>
      <c r="AN49" s="62">
        <f ca="1">AVERAGE(OFFSET($AM$3,0,0,'Données projet'!$E$10+1,1))-AVERAGE(OFFSET($H$3,0,0,'Données projet'!$E$10+1,1))</f>
        <v>382.55387448074327</v>
      </c>
      <c r="AO49" s="62">
        <f t="shared" si="36"/>
        <v>476.29465646955543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9.2476240738008233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0.10447954811365338</v>
      </c>
      <c r="AX49" s="23">
        <f t="shared" si="6"/>
        <v>9.3521036219144769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2">
        <f t="shared" si="32"/>
        <v>7.2470477296289397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70">
        <f t="shared" si="1"/>
        <v>345.32913312910375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7</v>
      </c>
      <c r="N50" s="14">
        <f>IF('Données projet'!$A$36&gt;35,N49+M50-V49,IF(A50&lt;'Données projet'!$A$36,$K$205^A50,IF(A50='Données projet'!$A$36,'Données projet'!$B$36,N49+M50-V49)))</f>
        <v>236</v>
      </c>
      <c r="O50" s="14">
        <f>N50*VLOOKUP('Données projet'!$B$9,Paramètres!$A$1:$I$89,3,0)*VLOOKUP('Données projet'!$B$9,Paramètres!$A$1:$I$89,5,0)</f>
        <v>110.44799999999999</v>
      </c>
      <c r="P50" s="14">
        <f t="shared" si="33"/>
        <v>29.436511885319565</v>
      </c>
      <c r="Q50" s="22">
        <f t="shared" si="53"/>
        <v>243.63219153359822</v>
      </c>
      <c r="R50" s="62">
        <f t="shared" si="0"/>
        <v>536.96552486693156</v>
      </c>
      <c r="S50" s="62">
        <f ca="1">AVERAGE(OFFSET($R$3,0,0,'Données projet'!$E$9+1,1))-AVERAGE(OFFSET($H$3,0,0,'Données projet'!$E$9+1,1))</f>
        <v>173.76802753906867</v>
      </c>
      <c r="T50" s="62">
        <f t="shared" si="34"/>
        <v>153.4527010894717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17.8</v>
      </c>
      <c r="AI50" s="14">
        <f>IF('Données projet'!$A$62&gt;35,AI49+AH50-AQ49,IF(A50&lt;'Données projet'!$A$62,$AF$205^A50,IF(A50='Données projet'!$A$62,'Données projet'!$B$62,AI49+AH50-AQ49)))</f>
        <v>575.59999999999991</v>
      </c>
      <c r="AJ50" s="14">
        <f>AI50*VLOOKUP('Données projet'!$B$10,Paramètres!$A$1:$I$89,3,0)*VLOOKUP('Données projet'!$B$10,Paramètres!$A$1:$I$89,5,0)</f>
        <v>321.76039999999995</v>
      </c>
      <c r="AK50" s="14">
        <f t="shared" si="35"/>
        <v>75.719522083505169</v>
      </c>
      <c r="AL50" s="22">
        <f t="shared" si="4"/>
        <v>692.27753096210472</v>
      </c>
      <c r="AM50" s="62">
        <f t="shared" si="5"/>
        <v>985.61086429543798</v>
      </c>
      <c r="AN50" s="62">
        <f ca="1">AVERAGE(OFFSET($AM$3,0,0,'Données projet'!$E$10+1,1))-AVERAGE(OFFSET($H$3,0,0,'Données projet'!$E$10+1,1))</f>
        <v>382.55387448074327</v>
      </c>
      <c r="AO50" s="62">
        <f t="shared" si="36"/>
        <v>476.29465646955543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9.0662838062073217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7.3878196966470466E-2</v>
      </c>
      <c r="AX50" s="23">
        <f t="shared" si="6"/>
        <v>9.140162003173792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2">
        <f t="shared" si="32"/>
        <v>7.3831248366439324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70">
        <f t="shared" si="1"/>
        <v>346.40387575715488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7</v>
      </c>
      <c r="N51" s="14">
        <f>IF('Données projet'!$A$36&gt;35,N50+M51-V50,IF(A51&lt;'Données projet'!$A$36,$K$205^A51,IF(A51='Données projet'!$A$36,'Données projet'!$B$36,N50+M51-V50)))</f>
        <v>243</v>
      </c>
      <c r="O51" s="14">
        <f>N51*VLOOKUP('Données projet'!$B$9,Paramètres!$A$1:$I$89,3,0)*VLOOKUP('Données projet'!$B$9,Paramètres!$A$1:$I$89,5,0)</f>
        <v>113.72399999999999</v>
      </c>
      <c r="P51" s="14">
        <f t="shared" si="33"/>
        <v>30.206680638130489</v>
      </c>
      <c r="Q51" s="22">
        <f t="shared" si="53"/>
        <v>250.67926877807722</v>
      </c>
      <c r="R51" s="62">
        <f t="shared" si="0"/>
        <v>544.0126021114105</v>
      </c>
      <c r="S51" s="62">
        <f ca="1">AVERAGE(OFFSET($R$3,0,0,'Données projet'!$E$9+1,1))-AVERAGE(OFFSET($H$3,0,0,'Données projet'!$E$9+1,1))</f>
        <v>173.76802753906867</v>
      </c>
      <c r="T51" s="62">
        <f t="shared" si="34"/>
        <v>153.4527010894717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17.8</v>
      </c>
      <c r="AI51" s="14">
        <f>IF('Données projet'!$A$62&gt;35,AI50+AH51-AQ50,IF(A51&lt;'Données projet'!$A$62,$AF$205^A51,IF(A51='Données projet'!$A$62,'Données projet'!$B$62,AI50+AH51-AQ50)))</f>
        <v>593.39999999999986</v>
      </c>
      <c r="AJ51" s="14">
        <f>AI51*VLOOKUP('Données projet'!$B$10,Paramètres!$A$1:$I$89,3,0)*VLOOKUP('Données projet'!$B$10,Paramètres!$A$1:$I$89,5,0)</f>
        <v>331.71059999999994</v>
      </c>
      <c r="AK51" s="14">
        <f t="shared" si="35"/>
        <v>77.784851407016433</v>
      </c>
      <c r="AL51" s="22">
        <f t="shared" si="4"/>
        <v>713.20457786722011</v>
      </c>
      <c r="AM51" s="62">
        <f t="shared" si="5"/>
        <v>1006.5379112005535</v>
      </c>
      <c r="AN51" s="62">
        <f ca="1">AVERAGE(OFFSET($AM$3,0,0,'Données projet'!$E$10+1,1))-AVERAGE(OFFSET($H$3,0,0,'Données projet'!$E$10+1,1))</f>
        <v>382.55387448074327</v>
      </c>
      <c r="AO51" s="62">
        <f t="shared" si="36"/>
        <v>476.29465646955543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8.888499510654686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5.2239774056826692E-2</v>
      </c>
      <c r="AX51" s="23">
        <f t="shared" si="6"/>
        <v>8.9407392847115119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2">
        <f t="shared" si="32"/>
        <v>7.5188723312571559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70">
        <f t="shared" si="1"/>
        <v>347.47804431027294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7</v>
      </c>
      <c r="N52" s="14">
        <f>IF('Données projet'!$A$36&gt;35,N51+M52-V51,IF(A52&lt;'Données projet'!$A$36,$K$205^A52,IF(A52='Données projet'!$A$36,'Données projet'!$B$36,N51+M52-V51)))</f>
        <v>250</v>
      </c>
      <c r="O52" s="14">
        <f>N52*VLOOKUP('Données projet'!$B$9,Paramètres!$A$1:$I$89,3,0)*VLOOKUP('Données projet'!$B$9,Paramètres!$A$1:$I$89,5,0)</f>
        <v>117</v>
      </c>
      <c r="P52" s="14">
        <f t="shared" si="33"/>
        <v>30.974270896484146</v>
      </c>
      <c r="Q52" s="22">
        <f t="shared" si="53"/>
        <v>257.72185514470988</v>
      </c>
      <c r="R52" s="62">
        <f t="shared" si="0"/>
        <v>551.05518847804319</v>
      </c>
      <c r="S52" s="62">
        <f ca="1">AVERAGE(OFFSET($R$3,0,0,'Données projet'!$E$9+1,1))-AVERAGE(OFFSET($H$3,0,0,'Données projet'!$E$9+1,1))</f>
        <v>173.76802753906867</v>
      </c>
      <c r="T52" s="62">
        <f t="shared" si="34"/>
        <v>153.4527010894717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17.8</v>
      </c>
      <c r="AI52" s="14">
        <f>IF('Données projet'!$A$62&gt;35,AI51+AH52-AQ51,IF(A52&lt;'Données projet'!$A$62,$AF$205^A52,IF(A52='Données projet'!$A$62,'Données projet'!$B$62,AI51+AH52-AQ51)))</f>
        <v>611.19999999999982</v>
      </c>
      <c r="AJ52" s="14">
        <f>AI52*VLOOKUP('Données projet'!$B$10,Paramètres!$A$1:$I$89,3,0)*VLOOKUP('Données projet'!$B$10,Paramètres!$A$1:$I$89,5,0)</f>
        <v>341.66079999999988</v>
      </c>
      <c r="AK52" s="14">
        <f t="shared" si="35"/>
        <v>79.842980844864144</v>
      </c>
      <c r="AL52" s="22">
        <f t="shared" si="4"/>
        <v>734.11908497147158</v>
      </c>
      <c r="AM52" s="62">
        <f t="shared" si="5"/>
        <v>1027.452418304805</v>
      </c>
      <c r="AN52" s="62">
        <f ca="1">AVERAGE(OFFSET($AM$3,0,0,'Données projet'!$E$10+1,1))-AVERAGE(OFFSET($H$3,0,0,'Données projet'!$E$10+1,1))</f>
        <v>382.55387448074327</v>
      </c>
      <c r="AO52" s="62">
        <f t="shared" si="36"/>
        <v>476.29465646955543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8.7142014567001258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3.6939098483235233E-2</v>
      </c>
      <c r="AX52" s="23">
        <f t="shared" si="6"/>
        <v>8.7511405551833619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2">
        <f t="shared" si="32"/>
        <v>7.6542977153884264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70">
        <f t="shared" si="1"/>
        <v>348.55165185430155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257</v>
      </c>
      <c r="L53" s="13">
        <f>VLOOKUP(A53,'Données projet'!$A$35:$I$55,9,0)</f>
        <v>7</v>
      </c>
      <c r="M53" s="13">
        <f t="array" ref="M53">INDEX(L:L,MIN(IF(ISNUMBER(L53:L249),ROW(L53:L249),"")))</f>
        <v>7</v>
      </c>
      <c r="N53" s="14">
        <f>IF('Données projet'!$A$36&gt;35,N52+M53-V52,IF(A53&lt;'Données projet'!$A$36,$K$205^A53,IF(A53='Données projet'!$A$36,'Données projet'!$B$36,N52+M53-V52)))</f>
        <v>257</v>
      </c>
      <c r="O53" s="14">
        <f>N53*VLOOKUP('Données projet'!$B$9,Paramètres!$A$1:$I$89,3,0)*VLOOKUP('Données projet'!$B$9,Paramètres!$A$1:$I$89,5,0)</f>
        <v>120.276</v>
      </c>
      <c r="P53" s="14">
        <f t="shared" si="33"/>
        <v>31.739363152156315</v>
      </c>
      <c r="Q53" s="22">
        <f t="shared" si="53"/>
        <v>264.76009082333889</v>
      </c>
      <c r="R53" s="62">
        <f t="shared" si="0"/>
        <v>558.0934241566722</v>
      </c>
      <c r="S53" s="62">
        <f ca="1">AVERAGE(OFFSET($R$3,0,0,'Données projet'!$E$9+1,1))-AVERAGE(OFFSET($H$3,0,0,'Données projet'!$E$9+1,1))</f>
        <v>173.76802753906867</v>
      </c>
      <c r="T53" s="62">
        <f t="shared" si="34"/>
        <v>153.4527010894717</v>
      </c>
      <c r="U53" s="16">
        <f>IF(ISNA(VLOOKUP(A53,'Données projet'!$A$35:$I$55,3,0)),0,VLOOKUP(A53,'Données projet'!$A$35:$I$55,3,0))</f>
        <v>4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629</v>
      </c>
      <c r="AG53" s="13">
        <f>VLOOKUP(A53,'Données projet'!$A$61:$I$81,9,0)</f>
        <v>17.8</v>
      </c>
      <c r="AH53" s="13">
        <f t="array" ref="AH53">INDEX(AG:AG,MIN(IF(ISNUMBER(AG53:AG249),ROW(AG53:AG249),"")))</f>
        <v>17.8</v>
      </c>
      <c r="AI53" s="14">
        <f>IF('Données projet'!$A$62&gt;35,AI52+AH53-AQ52,IF(A53&lt;'Données projet'!$A$62,$AF$205^A53,IF(A53='Données projet'!$A$62,'Données projet'!$B$62,AI52+AH53-AQ52)))</f>
        <v>628.99999999999977</v>
      </c>
      <c r="AJ53" s="14">
        <f>AI53*VLOOKUP('Données projet'!$B$10,Paramètres!$A$1:$I$89,3,0)*VLOOKUP('Données projet'!$B$10,Paramètres!$A$1:$I$89,5,0)</f>
        <v>351.61099999999988</v>
      </c>
      <c r="AK53" s="14">
        <f t="shared" si="35"/>
        <v>81.89414415728541</v>
      </c>
      <c r="AL53" s="22">
        <f t="shared" si="4"/>
        <v>755.02145940727178</v>
      </c>
      <c r="AM53" s="62">
        <f t="shared" si="5"/>
        <v>1048.354792740605</v>
      </c>
      <c r="AN53" s="62">
        <f ca="1">AVERAGE(OFFSET($AM$3,0,0,'Données projet'!$E$10+1,1))-AVERAGE(OFFSET($H$3,0,0,'Données projet'!$E$10+1,1))</f>
        <v>382.55387448074327</v>
      </c>
      <c r="AO53" s="62">
        <f t="shared" si="36"/>
        <v>476.29465646955543</v>
      </c>
      <c r="AP53" s="16">
        <f>IF(ISNA(VLOOKUP(A53,'Données projet'!$A$61:$I$81,3,0)),0,VLOOKUP(A53,'Données projet'!$A$61:$I$81,3,0))</f>
        <v>7</v>
      </c>
      <c r="AQ53" s="16">
        <f>IF(ISNA(VLOOKUP(A53,'Données projet'!$A$61:$I$81,4,0)),0,VLOOKUP(A53,'Données projet'!$A$61:$I$81,4,0))</f>
        <v>48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8.5433212812722985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2.6119887028413346E-2</v>
      </c>
      <c r="AX53" s="23">
        <f t="shared" si="6"/>
        <v>8.5694411683007115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2">
        <f t="shared" si="32"/>
        <v>7.789408173722185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70">
        <f t="shared" si="1"/>
        <v>349.62471090256616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8</v>
      </c>
      <c r="N54" s="14">
        <f>IF('Données projet'!$A$36&gt;35,N53+M54-V53,IF(A54&lt;'Données projet'!$A$36,$K$205^A54,IF(A54='Données projet'!$A$36,'Données projet'!$B$36,N53+M54-V53)))</f>
        <v>265</v>
      </c>
      <c r="O54" s="14">
        <f>N54*VLOOKUP('Données projet'!$B$9,Paramètres!$A$1:$I$89,3,0)*VLOOKUP('Données projet'!$B$9,Paramètres!$A$1:$I$89,5,0)</f>
        <v>124.02</v>
      </c>
      <c r="P54" s="14">
        <f t="shared" si="33"/>
        <v>32.610792634958898</v>
      </c>
      <c r="Q54" s="22">
        <f t="shared" si="53"/>
        <v>272.79863050588671</v>
      </c>
      <c r="R54" s="62">
        <f t="shared" si="0"/>
        <v>566.13196383922002</v>
      </c>
      <c r="S54" s="62">
        <f ca="1">AVERAGE(OFFSET($R$3,0,0,'Données projet'!$E$9+1,1))-AVERAGE(OFFSET($H$3,0,0,'Données projet'!$E$9+1,1))</f>
        <v>173.76802753906867</v>
      </c>
      <c r="T54" s="62">
        <f t="shared" si="34"/>
        <v>153.4527010894717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13.8</v>
      </c>
      <c r="AI54" s="14">
        <f>IF('Données projet'!$A$62&gt;35,AI53+AH54-AQ53,IF(A54&lt;'Données projet'!$A$62,$AF$205^A54,IF(A54='Données projet'!$A$62,'Données projet'!$B$62,AI53+AH54-AQ53)))</f>
        <v>594.79999999999973</v>
      </c>
      <c r="AJ54" s="14">
        <f>AI54*VLOOKUP('Données projet'!$B$10,Paramètres!$A$1:$I$89,3,0)*VLOOKUP('Données projet'!$B$10,Paramètres!$A$1:$I$89,5,0)</f>
        <v>332.49319999999983</v>
      </c>
      <c r="AK54" s="14">
        <f t="shared" si="35"/>
        <v>77.946984490524827</v>
      </c>
      <c r="AL54" s="22">
        <f t="shared" si="4"/>
        <v>714.84998798766367</v>
      </c>
      <c r="AM54" s="62">
        <f t="shared" si="5"/>
        <v>1008.183321320997</v>
      </c>
      <c r="AN54" s="62">
        <f ca="1">AVERAGE(OFFSET($AM$3,0,0,'Données projet'!$E$10+1,1))-AVERAGE(OFFSET($H$3,0,0,'Données projet'!$E$10+1,1))</f>
        <v>382.55387448074327</v>
      </c>
      <c r="AO54" s="62">
        <f t="shared" si="36"/>
        <v>476.29465646955543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8.3757919618579955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1.8469549241617617E-2</v>
      </c>
      <c r="AX54" s="23">
        <f t="shared" si="6"/>
        <v>8.3942615110996126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2">
        <f t="shared" si="32"/>
        <v>7.9242105930753244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70">
        <f t="shared" si="1"/>
        <v>350.69723344960619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8</v>
      </c>
      <c r="N55" s="14">
        <f>IF('Données projet'!$A$36&gt;35,N54+M55-V54,IF(A55&lt;'Données projet'!$A$36,$K$205^A55,IF(A55='Données projet'!$A$36,'Données projet'!$B$36,N54+M55-V54)))</f>
        <v>273</v>
      </c>
      <c r="O55" s="14">
        <f>N55*VLOOKUP('Données projet'!$B$9,Paramètres!$A$1:$I$89,3,0)*VLOOKUP('Données projet'!$B$9,Paramètres!$A$1:$I$89,5,0)</f>
        <v>127.76400000000001</v>
      </c>
      <c r="P55" s="14">
        <f t="shared" si="33"/>
        <v>33.479164830670051</v>
      </c>
      <c r="Q55" s="22">
        <f t="shared" si="53"/>
        <v>280.83184541341694</v>
      </c>
      <c r="R55" s="62">
        <f t="shared" si="0"/>
        <v>574.16517874675026</v>
      </c>
      <c r="S55" s="62">
        <f ca="1">AVERAGE(OFFSET($R$3,0,0,'Données projet'!$E$9+1,1))-AVERAGE(OFFSET($H$3,0,0,'Données projet'!$E$9+1,1))</f>
        <v>173.76802753906867</v>
      </c>
      <c r="T55" s="62">
        <f t="shared" si="34"/>
        <v>153.4527010894717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13.8</v>
      </c>
      <c r="AI55" s="14">
        <f>IF('Données projet'!$A$62&gt;35,AI54+AH55-AQ54,IF(A55&lt;'Données projet'!$A$62,$AF$205^A55,IF(A55='Données projet'!$A$62,'Données projet'!$B$62,AI54+AH55-AQ54)))</f>
        <v>608.59999999999968</v>
      </c>
      <c r="AJ55" s="14">
        <f>AI55*VLOOKUP('Données projet'!$B$10,Paramètres!$A$1:$I$89,3,0)*VLOOKUP('Données projet'!$B$10,Paramètres!$A$1:$I$89,5,0)</f>
        <v>340.20739999999984</v>
      </c>
      <c r="AK55" s="14">
        <f t="shared" si="35"/>
        <v>79.542795053996059</v>
      </c>
      <c r="AL55" s="22">
        <f t="shared" si="4"/>
        <v>731.06492305237623</v>
      </c>
      <c r="AM55" s="62">
        <f t="shared" si="5"/>
        <v>1024.3982563857096</v>
      </c>
      <c r="AN55" s="62">
        <f ca="1">AVERAGE(OFFSET($AM$3,0,0,'Données projet'!$E$10+1,1))-AVERAGE(OFFSET($H$3,0,0,'Données projet'!$E$10+1,1))</f>
        <v>382.55387448074327</v>
      </c>
      <c r="AO55" s="62">
        <f t="shared" si="36"/>
        <v>476.29465646955543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8.2115477902146115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1.3059943514206673E-2</v>
      </c>
      <c r="AX55" s="23">
        <f t="shared" si="6"/>
        <v>8.2246077337288188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2">
        <f t="shared" si="32"/>
        <v>8.0587115802330267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70">
        <f t="shared" si="1"/>
        <v>351.76923100223922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8</v>
      </c>
      <c r="N56" s="14">
        <f>IF('Données projet'!$A$36&gt;35,N55+M56-V55,IF(A56&lt;'Données projet'!$A$36,$K$205^A56,IF(A56='Données projet'!$A$36,'Données projet'!$B$36,N55+M56-V55)))</f>
        <v>281</v>
      </c>
      <c r="O56" s="14">
        <f>N56*VLOOKUP('Données projet'!$B$9,Paramètres!$A$1:$I$89,3,0)*VLOOKUP('Données projet'!$B$9,Paramètres!$A$1:$I$89,5,0)</f>
        <v>131.50800000000001</v>
      </c>
      <c r="P56" s="14">
        <f t="shared" si="33"/>
        <v>34.344579617082509</v>
      </c>
      <c r="Q56" s="22">
        <f t="shared" si="53"/>
        <v>288.85990949975201</v>
      </c>
      <c r="R56" s="62">
        <f t="shared" si="0"/>
        <v>582.19324283308538</v>
      </c>
      <c r="S56" s="62">
        <f ca="1">AVERAGE(OFFSET($R$3,0,0,'Données projet'!$E$9+1,1))-AVERAGE(OFFSET($H$3,0,0,'Données projet'!$E$9+1,1))</f>
        <v>173.76802753906867</v>
      </c>
      <c r="T56" s="62">
        <f t="shared" si="34"/>
        <v>153.4527010894717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13.8</v>
      </c>
      <c r="AI56" s="14">
        <f>IF('Données projet'!$A$62&gt;35,AI55+AH56-AQ55,IF(A56&lt;'Données projet'!$A$62,$AF$205^A56,IF(A56='Données projet'!$A$62,'Données projet'!$B$62,AI55+AH56-AQ55)))</f>
        <v>622.39999999999964</v>
      </c>
      <c r="AJ56" s="14">
        <f>AI56*VLOOKUP('Données projet'!$B$10,Paramètres!$A$1:$I$89,3,0)*VLOOKUP('Données projet'!$B$10,Paramètres!$A$1:$I$89,5,0)</f>
        <v>347.92159999999978</v>
      </c>
      <c r="AK56" s="14">
        <f t="shared" si="35"/>
        <v>81.134398856989449</v>
      </c>
      <c r="AL56" s="22">
        <f t="shared" si="4"/>
        <v>747.27253134258956</v>
      </c>
      <c r="AM56" s="62">
        <f t="shared" si="5"/>
        <v>1040.6058646759229</v>
      </c>
      <c r="AN56" s="62">
        <f ca="1">AVERAGE(OFFSET($AM$3,0,0,'Données projet'!$E$10+1,1))-AVERAGE(OFFSET($H$3,0,0,'Données projet'!$E$10+1,1))</f>
        <v>382.55387448074327</v>
      </c>
      <c r="AO56" s="62">
        <f t="shared" si="36"/>
        <v>476.29465646955543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8.0505243465981025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9.2347746208088083E-3</v>
      </c>
      <c r="AX56" s="23">
        <f t="shared" si="6"/>
        <v>8.0597591212189119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2">
        <f t="shared" si="32"/>
        <v>8.1929174784004761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70">
        <f t="shared" si="1"/>
        <v>352.84071460821417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8</v>
      </c>
      <c r="N57" s="14">
        <f>IF('Données projet'!$A$36&gt;35,N56+M57-V56,IF(A57&lt;'Données projet'!$A$36,$K$205^A57,IF(A57='Données projet'!$A$36,'Données projet'!$B$36,N56+M57-V56)))</f>
        <v>289</v>
      </c>
      <c r="O57" s="14">
        <f>N57*VLOOKUP('Données projet'!$B$9,Paramètres!$A$1:$I$89,3,0)*VLOOKUP('Données projet'!$B$9,Paramètres!$A$1:$I$89,5,0)</f>
        <v>135.25199999999998</v>
      </c>
      <c r="P57" s="14">
        <f t="shared" si="33"/>
        <v>35.207130861518152</v>
      </c>
      <c r="Q57" s="22">
        <f t="shared" si="53"/>
        <v>296.88298625047742</v>
      </c>
      <c r="R57" s="62">
        <f t="shared" si="0"/>
        <v>590.21631958381067</v>
      </c>
      <c r="S57" s="62">
        <f ca="1">AVERAGE(OFFSET($R$3,0,0,'Données projet'!$E$9+1,1))-AVERAGE(OFFSET($H$3,0,0,'Données projet'!$E$9+1,1))</f>
        <v>173.76802753906867</v>
      </c>
      <c r="T57" s="62">
        <f t="shared" si="34"/>
        <v>153.4527010894717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13.8</v>
      </c>
      <c r="AI57" s="14">
        <f>IF('Données projet'!$A$62&gt;35,AI56+AH57-AQ56,IF(A57&lt;'Données projet'!$A$62,$AF$205^A57,IF(A57='Données projet'!$A$62,'Données projet'!$B$62,AI56+AH57-AQ56)))</f>
        <v>636.19999999999959</v>
      </c>
      <c r="AJ57" s="14">
        <f>AI57*VLOOKUP('Données projet'!$B$10,Paramètres!$A$1:$I$89,3,0)*VLOOKUP('Données projet'!$B$10,Paramètres!$A$1:$I$89,5,0)</f>
        <v>355.63579999999973</v>
      </c>
      <c r="AK57" s="14">
        <f t="shared" si="35"/>
        <v>82.721899912765039</v>
      </c>
      <c r="AL57" s="22">
        <f t="shared" si="4"/>
        <v>763.47299401473185</v>
      </c>
      <c r="AM57" s="62">
        <f t="shared" si="5"/>
        <v>1056.8063273480652</v>
      </c>
      <c r="AN57" s="62">
        <f ca="1">AVERAGE(OFFSET($AM$3,0,0,'Données projet'!$E$10+1,1))-AVERAGE(OFFSET($H$3,0,0,'Données projet'!$E$10+1,1))</f>
        <v>382.55387448074327</v>
      </c>
      <c r="AO57" s="62">
        <f t="shared" si="36"/>
        <v>476.29465646955543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7.8926584744963098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6.5299717571033365E-3</v>
      </c>
      <c r="AX57" s="23">
        <f t="shared" si="6"/>
        <v>7.8991884462534134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2">
        <f t="shared" si="32"/>
        <v>8.3268343824014242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70">
        <f t="shared" si="1"/>
        <v>353.91169488268253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8</v>
      </c>
      <c r="N58" s="14">
        <f>IF('Données projet'!$A$36&gt;35,N57+M58-V57,IF(A58&lt;'Données projet'!$A$36,$K$205^A58,IF(A58='Données projet'!$A$36,'Données projet'!$B$36,N57+M58-V57)))</f>
        <v>297</v>
      </c>
      <c r="O58" s="14">
        <f>N58*VLOOKUP('Données projet'!$B$9,Paramètres!$A$1:$I$89,3,0)*VLOOKUP('Données projet'!$B$9,Paramètres!$A$1:$I$89,5,0)</f>
        <v>138.99600000000001</v>
      </c>
      <c r="P58" s="14">
        <f t="shared" si="33"/>
        <v>36.066906938767758</v>
      </c>
      <c r="Q58" s="22">
        <f t="shared" si="53"/>
        <v>304.90122958502047</v>
      </c>
      <c r="R58" s="62">
        <f t="shared" si="0"/>
        <v>598.23456291835373</v>
      </c>
      <c r="S58" s="62">
        <f ca="1">AVERAGE(OFFSET($R$3,0,0,'Données projet'!$E$9+1,1))-AVERAGE(OFFSET($H$3,0,0,'Données projet'!$E$9+1,1))</f>
        <v>173.76802753906867</v>
      </c>
      <c r="T58" s="62">
        <f t="shared" si="34"/>
        <v>153.4527010894717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650</v>
      </c>
      <c r="AG58" s="13">
        <f>VLOOKUP(A58,'Données projet'!$A$61:$I$81,9,0)</f>
        <v>13.8</v>
      </c>
      <c r="AH58" s="13">
        <f t="array" ref="AH58">INDEX(AG:AG,MIN(IF(ISNUMBER(AG58:AG254),ROW(AG58:AG254),"")))</f>
        <v>13.8</v>
      </c>
      <c r="AI58" s="14">
        <f>IF('Données projet'!$A$62&gt;35,AI57+AH58-AQ57,IF(A58&lt;'Données projet'!$A$62,$AF$205^A58,IF(A58='Données projet'!$A$62,'Données projet'!$B$62,AI57+AH58-AQ57)))</f>
        <v>649.99999999999955</v>
      </c>
      <c r="AJ58" s="14">
        <f>AI58*VLOOKUP('Données projet'!$B$10,Paramètres!$A$1:$I$89,3,0)*VLOOKUP('Données projet'!$B$10,Paramètres!$A$1:$I$89,5,0)</f>
        <v>363.34999999999974</v>
      </c>
      <c r="AK58" s="14">
        <f t="shared" si="35"/>
        <v>84.305397464498199</v>
      </c>
      <c r="AL58" s="22">
        <f t="shared" si="4"/>
        <v>779.66648391733395</v>
      </c>
      <c r="AM58" s="62">
        <f t="shared" si="5"/>
        <v>1072.9998172506673</v>
      </c>
      <c r="AN58" s="62">
        <f ca="1">AVERAGE(OFFSET($AM$3,0,0,'Données projet'!$E$10+1,1))-AVERAGE(OFFSET($H$3,0,0,'Données projet'!$E$10+1,1))</f>
        <v>382.55387448074327</v>
      </c>
      <c r="AO58" s="62">
        <f t="shared" si="36"/>
        <v>476.29465646955543</v>
      </c>
      <c r="AP58" s="16">
        <f>IF(ISNA(VLOOKUP(A58,'Données projet'!$A$61:$I$81,3,0)),0,VLOOKUP(A58,'Données projet'!$A$61:$I$81,3,0))</f>
        <v>8</v>
      </c>
      <c r="AQ58" s="16">
        <f>IF(ISNA(VLOOKUP(A58,'Données projet'!$A$61:$I$81,4,0)),0,VLOOKUP(A58,'Données projet'!$A$61:$I$81,4,0))</f>
        <v>35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7.7378882558577589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4.6173873104044041E-3</v>
      </c>
      <c r="AX58" s="23">
        <f t="shared" si="6"/>
        <v>7.7425056431681636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2">
        <f t="shared" si="32"/>
        <v>8.4604681527401535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70">
        <f t="shared" si="1"/>
        <v>354.98218203268914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8</v>
      </c>
      <c r="N59" s="14">
        <f>IF('Données projet'!$A$36&gt;35,N58+M59-V58,IF(A59&lt;'Données projet'!$A$36,$K$205^A59,IF(A59='Données projet'!$A$36,'Données projet'!$B$36,N58+M59-V58)))</f>
        <v>305</v>
      </c>
      <c r="O59" s="14">
        <f>N59*VLOOKUP('Données projet'!$B$9,Paramètres!$A$1:$I$89,3,0)*VLOOKUP('Données projet'!$B$9,Paramètres!$A$1:$I$89,5,0)</f>
        <v>142.74</v>
      </c>
      <c r="P59" s="14">
        <f t="shared" si="33"/>
        <v>36.923991191656064</v>
      </c>
      <c r="Q59" s="22">
        <f t="shared" si="53"/>
        <v>312.91478465880101</v>
      </c>
      <c r="R59" s="62">
        <f t="shared" si="0"/>
        <v>606.24811799213433</v>
      </c>
      <c r="S59" s="62">
        <f ca="1">AVERAGE(OFFSET($R$3,0,0,'Données projet'!$E$9+1,1))-AVERAGE(OFFSET($H$3,0,0,'Données projet'!$E$9+1,1))</f>
        <v>173.76802753906867</v>
      </c>
      <c r="T59" s="62">
        <f t="shared" si="34"/>
        <v>153.4527010894717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10.199999999999999</v>
      </c>
      <c r="AI59" s="14">
        <f>IF('Données projet'!$A$62&gt;35,AI58+AH59-AQ58,IF(A59&lt;'Données projet'!$A$62,$AF$205^A59,IF(A59='Données projet'!$A$62,'Données projet'!$B$62,AI58+AH59-AQ58)))</f>
        <v>625.19999999999959</v>
      </c>
      <c r="AJ59" s="14">
        <f>AI59*VLOOKUP('Données projet'!$B$10,Paramètres!$A$1:$I$89,3,0)*VLOOKUP('Données projet'!$B$10,Paramètres!$A$1:$I$89,5,0)</f>
        <v>349.48679999999979</v>
      </c>
      <c r="AK59" s="14">
        <f t="shared" si="35"/>
        <v>81.45682900536228</v>
      </c>
      <c r="AL59" s="22">
        <f t="shared" si="4"/>
        <v>750.56015385100557</v>
      </c>
      <c r="AM59" s="62">
        <f t="shared" si="5"/>
        <v>1043.8934871843389</v>
      </c>
      <c r="AN59" s="62">
        <f ca="1">AVERAGE(OFFSET($AM$3,0,0,'Données projet'!$E$10+1,1))-AVERAGE(OFFSET($H$3,0,0,'Données projet'!$E$10+1,1))</f>
        <v>382.55387448074327</v>
      </c>
      <c r="AO59" s="62">
        <f t="shared" si="36"/>
        <v>476.29465646955543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7.5861529868061979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3.2649858785516682E-3</v>
      </c>
      <c r="AX59" s="23">
        <f t="shared" si="6"/>
        <v>7.5894179726847497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2">
        <f t="shared" si="32"/>
        <v>8.5938244286305778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70">
        <f t="shared" si="1"/>
        <v>356.05218587986496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8</v>
      </c>
      <c r="N60" s="14">
        <f>IF('Données projet'!$A$36&gt;35,N59+M60-V59,IF(A60&lt;'Données projet'!$A$36,$K$205^A60,IF(A60='Données projet'!$A$36,'Données projet'!$B$36,N59+M60-V59)))</f>
        <v>313</v>
      </c>
      <c r="O60" s="14">
        <f>N60*VLOOKUP('Données projet'!$B$9,Paramètres!$A$1:$I$89,3,0)*VLOOKUP('Données projet'!$B$9,Paramètres!$A$1:$I$89,5,0)</f>
        <v>146.48400000000001</v>
      </c>
      <c r="P60" s="14">
        <f t="shared" si="33"/>
        <v>37.778462341926023</v>
      </c>
      <c r="Q60" s="22">
        <f t="shared" si="53"/>
        <v>320.9237885788545</v>
      </c>
      <c r="R60" s="62">
        <f t="shared" si="0"/>
        <v>614.25712191218781</v>
      </c>
      <c r="S60" s="62">
        <f ca="1">AVERAGE(OFFSET($R$3,0,0,'Données projet'!$E$9+1,1))-AVERAGE(OFFSET($H$3,0,0,'Données projet'!$E$9+1,1))</f>
        <v>173.76802753906867</v>
      </c>
      <c r="T60" s="62">
        <f t="shared" si="34"/>
        <v>153.4527010894717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10.199999999999999</v>
      </c>
      <c r="AI60" s="14">
        <f>IF('Données projet'!$A$62&gt;35,AI59+AH60-AQ59,IF(A60&lt;'Données projet'!$A$62,$AF$205^A60,IF(A60='Données projet'!$A$62,'Données projet'!$B$62,AI59+AH60-AQ59)))</f>
        <v>635.39999999999964</v>
      </c>
      <c r="AJ60" s="14">
        <f>AI60*VLOOKUP('Données projet'!$B$10,Paramètres!$A$1:$I$89,3,0)*VLOOKUP('Données projet'!$B$10,Paramètres!$A$1:$I$89,5,0)</f>
        <v>355.18859999999984</v>
      </c>
      <c r="AK60" s="14">
        <f t="shared" si="35"/>
        <v>82.629981116726043</v>
      </c>
      <c r="AL60" s="22">
        <f t="shared" si="4"/>
        <v>762.53402877829774</v>
      </c>
      <c r="AM60" s="62">
        <f t="shared" si="5"/>
        <v>1055.8673621116311</v>
      </c>
      <c r="AN60" s="62">
        <f ca="1">AVERAGE(OFFSET($AM$3,0,0,'Données projet'!$E$10+1,1))-AVERAGE(OFFSET($H$3,0,0,'Données projet'!$E$10+1,1))</f>
        <v>382.55387448074327</v>
      </c>
      <c r="AO60" s="62">
        <f t="shared" si="36"/>
        <v>476.29465646955543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7.4373931538313629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2.3086936552022021E-3</v>
      </c>
      <c r="AX60" s="23">
        <f t="shared" si="6"/>
        <v>7.4397018474865648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2">
        <f t="shared" si="32"/>
        <v>8.7269086400851155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70">
        <f t="shared" si="1"/>
        <v>357.12171588148163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8</v>
      </c>
      <c r="N61" s="14">
        <f>IF('Données projet'!$A$36&gt;35,N60+M61-V60,IF(A61&lt;'Données projet'!$A$36,$K$205^A61,IF(A61='Données projet'!$A$36,'Données projet'!$B$36,N60+M61-V60)))</f>
        <v>321</v>
      </c>
      <c r="O61" s="14">
        <f>N61*VLOOKUP('Données projet'!$B$9,Paramètres!$A$1:$I$89,3,0)*VLOOKUP('Données projet'!$B$9,Paramètres!$A$1:$I$89,5,0)</f>
        <v>150.22800000000001</v>
      </c>
      <c r="P61" s="14">
        <f t="shared" si="33"/>
        <v>38.630394857933659</v>
      </c>
      <c r="Q61" s="22">
        <f t="shared" si="53"/>
        <v>328.92837104423444</v>
      </c>
      <c r="R61" s="62">
        <f t="shared" si="0"/>
        <v>622.26170437756775</v>
      </c>
      <c r="S61" s="62">
        <f ca="1">AVERAGE(OFFSET($R$3,0,0,'Données projet'!$E$9+1,1))-AVERAGE(OFFSET($H$3,0,0,'Données projet'!$E$9+1,1))</f>
        <v>173.76802753906867</v>
      </c>
      <c r="T61" s="62">
        <f t="shared" si="34"/>
        <v>153.4527010894717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10.199999999999999</v>
      </c>
      <c r="AI61" s="14">
        <f>IF('Données projet'!$A$62&gt;35,AI60+AH61-AQ60,IF(A61&lt;'Données projet'!$A$62,$AF$205^A61,IF(A61='Données projet'!$A$62,'Données projet'!$B$62,AI60+AH61-AQ60)))</f>
        <v>645.59999999999968</v>
      </c>
      <c r="AJ61" s="14">
        <f>AI61*VLOOKUP('Données projet'!$B$10,Paramètres!$A$1:$I$89,3,0)*VLOOKUP('Données projet'!$B$10,Paramètres!$A$1:$I$89,5,0)</f>
        <v>360.89039999999977</v>
      </c>
      <c r="AK61" s="14">
        <f t="shared" si="35"/>
        <v>83.800943075865291</v>
      </c>
      <c r="AL61" s="22">
        <f t="shared" si="4"/>
        <v>774.50408919046504</v>
      </c>
      <c r="AM61" s="62">
        <f t="shared" si="5"/>
        <v>1067.8374225237983</v>
      </c>
      <c r="AN61" s="62">
        <f ca="1">AVERAGE(OFFSET($AM$3,0,0,'Données projet'!$E$10+1,1))-AVERAGE(OFFSET($H$3,0,0,'Données projet'!$E$10+1,1))</f>
        <v>382.55387448074327</v>
      </c>
      <c r="AO61" s="62">
        <f t="shared" si="36"/>
        <v>476.29465646955543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7.2915504104466251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1.6324929392758341E-3</v>
      </c>
      <c r="AX61" s="23">
        <f t="shared" si="6"/>
        <v>7.293182903385901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2">
        <f t="shared" si="32"/>
        <v>8.8597260191462528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70">
        <f t="shared" si="1"/>
        <v>358.19078115001309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8</v>
      </c>
      <c r="N62" s="14">
        <f>IF('Données projet'!$A$36&gt;35,N61+M62-V61,IF(A62&lt;'Données projet'!$A$36,$K$205^A62,IF(A62='Données projet'!$A$36,'Données projet'!$B$36,N61+M62-V61)))</f>
        <v>329</v>
      </c>
      <c r="O62" s="14">
        <f>N62*VLOOKUP('Données projet'!$B$9,Paramètres!$A$1:$I$89,3,0)*VLOOKUP('Données projet'!$B$9,Paramètres!$A$1:$I$89,5,0)</f>
        <v>153.97200000000001</v>
      </c>
      <c r="P62" s="14">
        <f t="shared" si="33"/>
        <v>39.479859284656378</v>
      </c>
      <c r="Q62" s="22">
        <f t="shared" si="53"/>
        <v>336.92865492077652</v>
      </c>
      <c r="R62" s="62">
        <f t="shared" si="0"/>
        <v>630.26198825410984</v>
      </c>
      <c r="S62" s="62">
        <f ca="1">AVERAGE(OFFSET($R$3,0,0,'Données projet'!$E$9+1,1))-AVERAGE(OFFSET($H$3,0,0,'Données projet'!$E$9+1,1))</f>
        <v>173.76802753906867</v>
      </c>
      <c r="T62" s="62">
        <f t="shared" si="34"/>
        <v>153.4527010894717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10.199999999999999</v>
      </c>
      <c r="AI62" s="14">
        <f>IF('Données projet'!$A$62&gt;35,AI61+AH62-AQ61,IF(A62&lt;'Données projet'!$A$62,$AF$205^A62,IF(A62='Données projet'!$A$62,'Données projet'!$B$62,AI61+AH62-AQ61)))</f>
        <v>655.79999999999973</v>
      </c>
      <c r="AJ62" s="14">
        <f>AI62*VLOOKUP('Données projet'!$B$10,Paramètres!$A$1:$I$89,3,0)*VLOOKUP('Données projet'!$B$10,Paramètres!$A$1:$I$89,5,0)</f>
        <v>366.59219999999982</v>
      </c>
      <c r="AK62" s="14">
        <f t="shared" si="35"/>
        <v>84.969753481055022</v>
      </c>
      <c r="AL62" s="22">
        <f t="shared" si="4"/>
        <v>786.47040231283711</v>
      </c>
      <c r="AM62" s="62">
        <f t="shared" si="5"/>
        <v>1079.8037356461705</v>
      </c>
      <c r="AN62" s="62">
        <f ca="1">AVERAGE(OFFSET($AM$3,0,0,'Données projet'!$E$10+1,1))-AVERAGE(OFFSET($H$3,0,0,'Données projet'!$E$10+1,1))</f>
        <v>382.55387448074327</v>
      </c>
      <c r="AO62" s="62">
        <f t="shared" si="36"/>
        <v>476.29465646955543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7.1485675543043721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1.154346827601101E-3</v>
      </c>
      <c r="AX62" s="23">
        <f t="shared" si="6"/>
        <v>7.149721901131973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2">
        <f t="shared" si="32"/>
        <v>8.9922816103350858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70">
        <f t="shared" si="1"/>
        <v>359.25939047133363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337</v>
      </c>
      <c r="L63" s="13">
        <f>VLOOKUP(A63,'Données projet'!$A$35:$I$55,9,0)</f>
        <v>8</v>
      </c>
      <c r="M63" s="13">
        <f t="array" ref="M63">INDEX(L:L,MIN(IF(ISNUMBER(L63:L259),ROW(L63:L259),"")))</f>
        <v>8</v>
      </c>
      <c r="N63" s="14">
        <f>IF('Données projet'!$A$36&gt;35,N62+M63-V62,IF(A63&lt;'Données projet'!$A$36,$K$205^A63,IF(A63='Données projet'!$A$36,'Données projet'!$B$36,N62+M63-V62)))</f>
        <v>337</v>
      </c>
      <c r="O63" s="14">
        <f>N63*VLOOKUP('Données projet'!$B$9,Paramètres!$A$1:$I$89,3,0)*VLOOKUP('Données projet'!$B$9,Paramètres!$A$1:$I$89,5,0)</f>
        <v>157.71600000000001</v>
      </c>
      <c r="P63" s="14">
        <f t="shared" si="33"/>
        <v>40.326922540698838</v>
      </c>
      <c r="Q63" s="22">
        <f t="shared" si="53"/>
        <v>344.92475675838381</v>
      </c>
      <c r="R63" s="62">
        <f t="shared" si="0"/>
        <v>638.25809009171712</v>
      </c>
      <c r="S63" s="62">
        <f ca="1">AVERAGE(OFFSET($R$3,0,0,'Données projet'!$E$9+1,1))-AVERAGE(OFFSET($H$3,0,0,'Données projet'!$E$9+1,1))</f>
        <v>173.76802753906867</v>
      </c>
      <c r="T63" s="62">
        <f t="shared" si="34"/>
        <v>153.4527010894717</v>
      </c>
      <c r="U63" s="16">
        <f>IF(ISNA(VLOOKUP(A63,'Données projet'!$A$35:$I$55,3,0)),0,VLOOKUP(A63,'Données projet'!$A$35:$I$55,3,0))</f>
        <v>5</v>
      </c>
      <c r="V63" s="16">
        <f>IF(ISNA(VLOOKUP(A63,'Données projet'!$A$35:$I$55,4,0)),0,VLOOKUP(A63,'Données projet'!$A$35:$I$55,4,0))</f>
        <v>67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666</v>
      </c>
      <c r="AG63" s="13">
        <f>VLOOKUP(A63,'Données projet'!$A$61:$I$81,9,0)</f>
        <v>10.199999999999999</v>
      </c>
      <c r="AH63" s="13">
        <f t="array" ref="AH63">INDEX(AG:AG,MIN(IF(ISNUMBER(AG63:AG259),ROW(AG63:AG259),"")))</f>
        <v>10.199999999999999</v>
      </c>
      <c r="AI63" s="14">
        <f>IF('Données projet'!$A$62&gt;35,AI62+AH63-AQ62,IF(A63&lt;'Données projet'!$A$62,$AF$205^A63,IF(A63='Données projet'!$A$62,'Données projet'!$B$62,AI62+AH63-AQ62)))</f>
        <v>665.99999999999977</v>
      </c>
      <c r="AJ63" s="14">
        <f>AI63*VLOOKUP('Données projet'!$B$10,Paramètres!$A$1:$I$89,3,0)*VLOOKUP('Données projet'!$B$10,Paramètres!$A$1:$I$89,5,0)</f>
        <v>372.29399999999987</v>
      </c>
      <c r="AK63" s="14">
        <f t="shared" si="35"/>
        <v>86.136449661008839</v>
      </c>
      <c r="AL63" s="22">
        <f t="shared" si="4"/>
        <v>798.43303315959008</v>
      </c>
      <c r="AM63" s="62">
        <f t="shared" si="5"/>
        <v>1091.7663664929235</v>
      </c>
      <c r="AN63" s="62">
        <f ca="1">AVERAGE(OFFSET($AM$3,0,0,'Données projet'!$E$10+1,1))-AVERAGE(OFFSET($H$3,0,0,'Données projet'!$E$10+1,1))</f>
        <v>382.55387448074327</v>
      </c>
      <c r="AO63" s="62">
        <f t="shared" si="36"/>
        <v>476.29465646955543</v>
      </c>
      <c r="AP63" s="16">
        <f>IF(ISNA(VLOOKUP(A63,'Données projet'!$A$61:$I$81,3,0)),0,VLOOKUP(A63,'Données projet'!$A$61:$I$81,3,0))</f>
        <v>9</v>
      </c>
      <c r="AQ63" s="16">
        <f>IF(ISNA(VLOOKUP(A63,'Données projet'!$A$61:$I$81,4,0)),0,VLOOKUP(A63,'Données projet'!$A$61:$I$81,4,0))</f>
        <v>666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7.0083885047601377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8.1624646963791706E-4</v>
      </c>
      <c r="AX63" s="23">
        <f t="shared" si="6"/>
        <v>7.0092047512297757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2">
        <f t="shared" si="32"/>
        <v>9.1245802803834923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70">
        <f t="shared" si="1"/>
        <v>360.32755232166795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7.5</v>
      </c>
      <c r="N64" s="14">
        <f>IF('Données projet'!$A$36&gt;35,N63+M64-V63,IF(A64&lt;'Données projet'!$A$36,$K$205^A64,IF(A64='Données projet'!$A$36,'Données projet'!$B$36,N63+M64-V63)))</f>
        <v>277.5</v>
      </c>
      <c r="O64" s="14">
        <f>N64*VLOOKUP('Données projet'!$B$9,Paramètres!$A$1:$I$89,3,0)*VLOOKUP('Données projet'!$B$9,Paramètres!$A$1:$I$89,5,0)</f>
        <v>129.87</v>
      </c>
      <c r="P64" s="14">
        <f t="shared" si="33"/>
        <v>33.966318400312318</v>
      </c>
      <c r="Q64" s="22">
        <f t="shared" si="53"/>
        <v>285.34825454721067</v>
      </c>
      <c r="R64" s="62">
        <f t="shared" si="0"/>
        <v>578.68158788054393</v>
      </c>
      <c r="S64" s="62">
        <f ca="1">AVERAGE(OFFSET($R$3,0,0,'Données projet'!$E$9+1,1))-AVERAGE(OFFSET($H$3,0,0,'Données projet'!$E$9+1,1))</f>
        <v>173.76802753906867</v>
      </c>
      <c r="T64" s="62">
        <f t="shared" si="34"/>
        <v>153.4527010894717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-2.2737367544323206E-13</v>
      </c>
      <c r="AJ64" s="14">
        <f>AI64*VLOOKUP('Données projet'!$B$10,Paramètres!$A$1:$I$89,3,0)*VLOOKUP('Données projet'!$B$10,Paramètres!$A$1:$I$89,5,0)</f>
        <v>-1.2710188457276673E-13</v>
      </c>
      <c r="AK64" s="14" t="e">
        <f t="shared" si="35"/>
        <v>#NUM!</v>
      </c>
      <c r="AL64" s="22" t="e">
        <f t="shared" si="4"/>
        <v>#NUM!</v>
      </c>
      <c r="AM64" s="62" t="e">
        <f t="shared" si="5"/>
        <v>#NUM!</v>
      </c>
      <c r="AN64" s="62">
        <f ca="1">AVERAGE(OFFSET($AM$3,0,0,'Données projet'!$E$10+1,1))-AVERAGE(OFFSET($H$3,0,0,'Données projet'!$E$10+1,1))</f>
        <v>382.55387448074327</v>
      </c>
      <c r="AO64" s="62">
        <f t="shared" si="36"/>
        <v>476.29465646955543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6.870958280876688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5.7717341380055052E-4</v>
      </c>
      <c r="AX64" s="23">
        <f t="shared" si="6"/>
        <v>6.8715354542904885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2">
        <f t="shared" si="32"/>
        <v>9.2566267273101186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70">
        <f t="shared" si="1"/>
        <v>361.39527488339854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7.5</v>
      </c>
      <c r="N65" s="14">
        <f>IF('Données projet'!$A$36&gt;35,N64+M65-V64,IF(A65&lt;'Données projet'!$A$36,$K$205^A65,IF(A65='Données projet'!$A$36,'Données projet'!$B$36,N64+M65-V64)))</f>
        <v>285</v>
      </c>
      <c r="O65" s="14">
        <f>N65*VLOOKUP('Données projet'!$B$9,Paramètres!$A$1:$I$89,3,0)*VLOOKUP('Données projet'!$B$9,Paramètres!$A$1:$I$89,5,0)</f>
        <v>133.38</v>
      </c>
      <c r="P65" s="14">
        <f t="shared" si="33"/>
        <v>34.776207535548991</v>
      </c>
      <c r="Q65" s="22">
        <f t="shared" si="53"/>
        <v>292.8720614577478</v>
      </c>
      <c r="R65" s="62">
        <f t="shared" si="0"/>
        <v>586.20539479108106</v>
      </c>
      <c r="S65" s="62">
        <f ca="1">AVERAGE(OFFSET($R$3,0,0,'Données projet'!$E$9+1,1))-AVERAGE(OFFSET($H$3,0,0,'Données projet'!$E$9+1,1))</f>
        <v>173.76802753906867</v>
      </c>
      <c r="T65" s="62">
        <f t="shared" si="34"/>
        <v>153.4527010894717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-2.2737367544323206E-13</v>
      </c>
      <c r="AJ65" s="14">
        <f>AI65*VLOOKUP('Données projet'!$B$10,Paramètres!$A$1:$I$89,3,0)*VLOOKUP('Données projet'!$B$10,Paramètres!$A$1:$I$89,5,0)</f>
        <v>-1.2710188457276673E-13</v>
      </c>
      <c r="AK65" s="14" t="e">
        <f t="shared" si="35"/>
        <v>#NUM!</v>
      </c>
      <c r="AL65" s="22" t="e">
        <f t="shared" si="4"/>
        <v>#NUM!</v>
      </c>
      <c r="AM65" s="62" t="e">
        <f t="shared" si="5"/>
        <v>#NUM!</v>
      </c>
      <c r="AN65" s="62">
        <f ca="1">AVERAGE(OFFSET($AM$3,0,0,'Données projet'!$E$10+1,1))-AVERAGE(OFFSET($H$3,0,0,'Données projet'!$E$10+1,1))</f>
        <v>382.55387448074327</v>
      </c>
      <c r="AO65" s="62">
        <f t="shared" si="36"/>
        <v>476.29465646955543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6.7362229798594333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4.0812323481895853E-4</v>
      </c>
      <c r="AX65" s="23">
        <f t="shared" si="6"/>
        <v>6.7366311030942523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2">
        <f t="shared" si="32"/>
        <v>9.3884254888941534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70">
        <f t="shared" si="1"/>
        <v>362.46256605982404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7.5</v>
      </c>
      <c r="N66" s="14">
        <f>IF('Données projet'!$A$36&gt;35,N65+M66-V65,IF(A66&lt;'Données projet'!$A$36,$K$205^A66,IF(A66='Données projet'!$A$36,'Données projet'!$B$36,N65+M66-V65)))</f>
        <v>292.5</v>
      </c>
      <c r="O66" s="14">
        <f>N66*VLOOKUP('Données projet'!$B$9,Paramètres!$A$1:$I$89,3,0)*VLOOKUP('Données projet'!$B$9,Paramètres!$A$1:$I$89,5,0)</f>
        <v>136.89000000000001</v>
      </c>
      <c r="P66" s="14">
        <f t="shared" si="33"/>
        <v>35.583619346017713</v>
      </c>
      <c r="Q66" s="22">
        <f t="shared" si="53"/>
        <v>300.39155369431421</v>
      </c>
      <c r="R66" s="62">
        <f t="shared" si="0"/>
        <v>593.72488702764758</v>
      </c>
      <c r="S66" s="62">
        <f ca="1">AVERAGE(OFFSET($R$3,0,0,'Données projet'!$E$9+1,1))-AVERAGE(OFFSET($H$3,0,0,'Données projet'!$E$9+1,1))</f>
        <v>173.76802753906867</v>
      </c>
      <c r="T66" s="62">
        <f t="shared" si="34"/>
        <v>153.4527010894717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-2.2737367544323206E-13</v>
      </c>
      <c r="AJ66" s="14">
        <f>AI66*VLOOKUP('Données projet'!$B$10,Paramètres!$A$1:$I$89,3,0)*VLOOKUP('Données projet'!$B$10,Paramètres!$A$1:$I$89,5,0)</f>
        <v>-1.2710188457276673E-13</v>
      </c>
      <c r="AK66" s="14" t="e">
        <f t="shared" si="35"/>
        <v>#NUM!</v>
      </c>
      <c r="AL66" s="22" t="e">
        <f t="shared" si="4"/>
        <v>#NUM!</v>
      </c>
      <c r="AM66" s="62" t="e">
        <f t="shared" si="5"/>
        <v>#NUM!</v>
      </c>
      <c r="AN66" s="62">
        <f ca="1">AVERAGE(OFFSET($AM$3,0,0,'Données projet'!$E$10+1,1))-AVERAGE(OFFSET($H$3,0,0,'Données projet'!$E$10+1,1))</f>
        <v>382.55387448074327</v>
      </c>
      <c r="AO66" s="62">
        <f t="shared" si="36"/>
        <v>476.29465646955543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6.6041297559147081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2.8858670690027526E-4</v>
      </c>
      <c r="AX66" s="23">
        <f t="shared" si="6"/>
        <v>6.6044183426216083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2">
        <f t="shared" si="32"/>
        <v>9.5199809505958548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70">
        <f t="shared" si="1"/>
        <v>363.52943348895451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7.5</v>
      </c>
      <c r="N67" s="14">
        <f>IF('Données projet'!$A$36&gt;35,N66+M67-V66,IF(A67&lt;'Données projet'!$A$36,$K$205^A67,IF(A67='Données projet'!$A$36,'Données projet'!$B$36,N66+M67-V66)))</f>
        <v>300</v>
      </c>
      <c r="O67" s="14">
        <f>N67*VLOOKUP('Données projet'!$B$9,Paramètres!$A$1:$I$89,3,0)*VLOOKUP('Données projet'!$B$9,Paramètres!$A$1:$I$89,5,0)</f>
        <v>140.4</v>
      </c>
      <c r="P67" s="14">
        <f t="shared" si="33"/>
        <v>36.388624656711201</v>
      </c>
      <c r="Q67" s="22">
        <f t="shared" ref="Q67:Q98" si="54">(O67+P67)*0.475*44/12</f>
        <v>307.90685461043864</v>
      </c>
      <c r="R67" s="62">
        <f t="shared" ref="R67:R130" si="55">Q67+(I67+J67)*44/12</f>
        <v>601.24018794377196</v>
      </c>
      <c r="S67" s="62">
        <f ca="1">AVERAGE(OFFSET($R$3,0,0,'Données projet'!$E$9+1,1))-AVERAGE(OFFSET($H$3,0,0,'Données projet'!$E$9+1,1))</f>
        <v>173.76802753906867</v>
      </c>
      <c r="T67" s="62">
        <f t="shared" si="34"/>
        <v>153.4527010894717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-2.2737367544323206E-13</v>
      </c>
      <c r="AJ67" s="14">
        <f>AI67*VLOOKUP('Données projet'!$B$10,Paramètres!$A$1:$I$89,3,0)*VLOOKUP('Données projet'!$B$10,Paramètres!$A$1:$I$89,5,0)</f>
        <v>-1.2710188457276673E-13</v>
      </c>
      <c r="AK67" s="14" t="e">
        <f t="shared" si="35"/>
        <v>#NUM!</v>
      </c>
      <c r="AL67" s="22" t="e">
        <f t="shared" si="4"/>
        <v>#NUM!</v>
      </c>
      <c r="AM67" s="62" t="e">
        <f t="shared" si="5"/>
        <v>#NUM!</v>
      </c>
      <c r="AN67" s="62">
        <f ca="1">AVERAGE(OFFSET($AM$3,0,0,'Données projet'!$E$10+1,1))-AVERAGE(OFFSET($H$3,0,0,'Données projet'!$E$10+1,1))</f>
        <v>382.55387448074327</v>
      </c>
      <c r="AO67" s="62">
        <f t="shared" si="36"/>
        <v>476.29465646955543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6.4746267995226274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2.0406161740947927E-4</v>
      </c>
      <c r="AX67" s="23">
        <f t="shared" si="6"/>
        <v>6.4748308611400365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2">
        <f t="shared" si="32"/>
        <v>9.6512973529679762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70">
        <f t="shared" ref="H68:H131" si="56">(B68+E68+F68)*44/12+(C68+D68)*0.475*44/12</f>
        <v>364.59588455641932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7.5</v>
      </c>
      <c r="N68" s="14">
        <f>IF('Données projet'!$A$36&gt;35,N67+M68-V67,IF(A68&lt;'Données projet'!$A$36,$K$205^A68,IF(A68='Données projet'!$A$36,'Données projet'!$B$36,N67+M68-V67)))</f>
        <v>307.5</v>
      </c>
      <c r="O68" s="14">
        <f>N68*VLOOKUP('Données projet'!$B$9,Paramètres!$A$1:$I$89,3,0)*VLOOKUP('Données projet'!$B$9,Paramètres!$A$1:$I$89,5,0)</f>
        <v>143.91</v>
      </c>
      <c r="P68" s="14">
        <f t="shared" si="33"/>
        <v>37.191290549543432</v>
      </c>
      <c r="Q68" s="22">
        <f t="shared" si="54"/>
        <v>315.41808104045475</v>
      </c>
      <c r="R68" s="62">
        <f t="shared" si="55"/>
        <v>608.75141437378807</v>
      </c>
      <c r="S68" s="62">
        <f ca="1">AVERAGE(OFFSET($R$3,0,0,'Données projet'!$E$9+1,1))-AVERAGE(OFFSET($H$3,0,0,'Données projet'!$E$9+1,1))</f>
        <v>173.76802753906867</v>
      </c>
      <c r="T68" s="62">
        <f t="shared" si="34"/>
        <v>153.4527010894717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-2.2737367544323206E-13</v>
      </c>
      <c r="AJ68" s="14">
        <f>AI68*VLOOKUP('Données projet'!$B$10,Paramètres!$A$1:$I$89,3,0)*VLOOKUP('Données projet'!$B$10,Paramètres!$A$1:$I$89,5,0)</f>
        <v>-1.2710188457276673E-13</v>
      </c>
      <c r="AK68" s="14" t="e">
        <f t="shared" si="35"/>
        <v>#NUM!</v>
      </c>
      <c r="AL68" s="22" t="e">
        <f t="shared" ref="AL68:AL131" si="58">(AJ68+AK68)*0.475*44/12</f>
        <v>#NUM!</v>
      </c>
      <c r="AM68" s="62" t="e">
        <f t="shared" ref="AM68:AM131" si="59">AL68+(AD68+AE68)*44/12</f>
        <v>#NUM!</v>
      </c>
      <c r="AN68" s="62">
        <f ca="1">AVERAGE(OFFSET($AM$3,0,0,'Données projet'!$E$10+1,1))-AVERAGE(OFFSET($H$3,0,0,'Données projet'!$E$10+1,1))</f>
        <v>382.55387448074327</v>
      </c>
      <c r="AO68" s="62">
        <f t="shared" si="36"/>
        <v>476.29465646955543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6.3476633171163916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1.4429335345013763E-4</v>
      </c>
      <c r="AX68" s="23">
        <f t="shared" ref="AX68:AX131" si="60">SUM(AU68:AW68)</f>
        <v>6.3478076104698422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2">
        <f t="shared" ref="D69:D132" si="86">IFERROR(EXP(-1.0587+0.8836*LN(C69)+0.284),0)</f>
        <v>9.7823787985981756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70">
        <f t="shared" si="56"/>
        <v>365.66192640755855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7.5</v>
      </c>
      <c r="N69" s="14">
        <f>IF('Données projet'!$A$36&gt;35,N68+M69-V68,IF(A69&lt;'Données projet'!$A$36,$K$205^A69,IF(A69='Données projet'!$A$36,'Données projet'!$B$36,N68+M69-V68)))</f>
        <v>315</v>
      </c>
      <c r="O69" s="14">
        <f>N69*VLOOKUP('Données projet'!$B$9,Paramètres!$A$1:$I$89,3,0)*VLOOKUP('Données projet'!$B$9,Paramètres!$A$1:$I$89,5,0)</f>
        <v>147.41999999999999</v>
      </c>
      <c r="P69" s="14">
        <f t="shared" ref="P69:P132" si="87">EXP(-1.0587+0.8836*LN(O69)+0.284)</f>
        <v>37.991680647570291</v>
      </c>
      <c r="Q69" s="22">
        <f t="shared" si="54"/>
        <v>322.92534379451826</v>
      </c>
      <c r="R69" s="62">
        <f t="shared" si="55"/>
        <v>616.25867712785157</v>
      </c>
      <c r="S69" s="62">
        <f ca="1">AVERAGE(OFFSET($R$3,0,0,'Données projet'!$E$9+1,1))-AVERAGE(OFFSET($H$3,0,0,'Données projet'!$E$9+1,1))</f>
        <v>173.76802753906867</v>
      </c>
      <c r="T69" s="62">
        <f t="shared" ref="T69:T132" si="88">$T$3</f>
        <v>153.4527010894717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-2.2737367544323206E-13</v>
      </c>
      <c r="AJ69" s="14">
        <f>AI69*VLOOKUP('Données projet'!$B$10,Paramètres!$A$1:$I$89,3,0)*VLOOKUP('Données projet'!$B$10,Paramètres!$A$1:$I$89,5,0)</f>
        <v>-1.2710188457276673E-13</v>
      </c>
      <c r="AK69" s="14" t="e">
        <f t="shared" ref="AK69:AK132" si="89">EXP(-1.0587+0.8836*LN(AJ69)+0.284)</f>
        <v>#NUM!</v>
      </c>
      <c r="AL69" s="22" t="e">
        <f t="shared" si="58"/>
        <v>#NUM!</v>
      </c>
      <c r="AM69" s="62" t="e">
        <f t="shared" si="59"/>
        <v>#NUM!</v>
      </c>
      <c r="AN69" s="62">
        <f ca="1">AVERAGE(OFFSET($AM$3,0,0,'Données projet'!$E$10+1,1))-AVERAGE(OFFSET($H$3,0,0,'Données projet'!$E$10+1,1))</f>
        <v>382.55387448074327</v>
      </c>
      <c r="AO69" s="62">
        <f t="shared" ref="AO69:AO132" si="90">$AO$3</f>
        <v>476.29465646955543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6.223189511160065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1.0203080870473963E-4</v>
      </c>
      <c r="AX69" s="23">
        <f t="shared" si="60"/>
        <v>6.22329154196877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2">
        <f t="shared" si="86"/>
        <v>9.9132292586187312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70">
        <f t="shared" si="56"/>
        <v>366.72756595876103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7.5</v>
      </c>
      <c r="N70" s="14">
        <f>IF('Données projet'!$A$36&gt;35,N69+M70-V69,IF(A70&lt;'Données projet'!$A$36,$K$205^A70,IF(A70='Données projet'!$A$36,'Données projet'!$B$36,N69+M70-V69)))</f>
        <v>322.5</v>
      </c>
      <c r="O70" s="14">
        <f>N70*VLOOKUP('Données projet'!$B$9,Paramètres!$A$1:$I$89,3,0)*VLOOKUP('Données projet'!$B$9,Paramètres!$A$1:$I$89,5,0)</f>
        <v>150.93</v>
      </c>
      <c r="P70" s="14">
        <f t="shared" si="87"/>
        <v>38.789855371379076</v>
      </c>
      <c r="Q70" s="22">
        <f t="shared" si="54"/>
        <v>330.4287481051519</v>
      </c>
      <c r="R70" s="62">
        <f t="shared" si="55"/>
        <v>623.76208143848521</v>
      </c>
      <c r="S70" s="62">
        <f ca="1">AVERAGE(OFFSET($R$3,0,0,'Données projet'!$E$9+1,1))-AVERAGE(OFFSET($H$3,0,0,'Données projet'!$E$9+1,1))</f>
        <v>173.76802753906867</v>
      </c>
      <c r="T70" s="62">
        <f t="shared" si="88"/>
        <v>153.4527010894717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-2.2737367544323206E-13</v>
      </c>
      <c r="AJ70" s="14">
        <f>AI70*VLOOKUP('Données projet'!$B$10,Paramètres!$A$1:$I$89,3,0)*VLOOKUP('Données projet'!$B$10,Paramètres!$A$1:$I$89,5,0)</f>
        <v>-1.2710188457276673E-13</v>
      </c>
      <c r="AK70" s="14" t="e">
        <f t="shared" si="89"/>
        <v>#NUM!</v>
      </c>
      <c r="AL70" s="22" t="e">
        <f t="shared" si="58"/>
        <v>#NUM!</v>
      </c>
      <c r="AM70" s="62" t="e">
        <f t="shared" si="59"/>
        <v>#NUM!</v>
      </c>
      <c r="AN70" s="62">
        <f ca="1">AVERAGE(OFFSET($AM$3,0,0,'Données projet'!$E$10+1,1))-AVERAGE(OFFSET($H$3,0,0,'Données projet'!$E$10+1,1))</f>
        <v>382.55387448074327</v>
      </c>
      <c r="AO70" s="62">
        <f t="shared" si="90"/>
        <v>476.29465646955543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6.1011565606170164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7.2146676725068815E-5</v>
      </c>
      <c r="AX70" s="23">
        <f t="shared" si="60"/>
        <v>6.1012287072937417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2">
        <f t="shared" si="86"/>
        <v>10.043852578816578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70">
        <f t="shared" si="56"/>
        <v>367.7928099081056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7.5</v>
      </c>
      <c r="N71" s="14">
        <f>IF('Données projet'!$A$36&gt;35,N70+M71-V70,IF(A71&lt;'Données projet'!$A$36,$K$205^A71,IF(A71='Données projet'!$A$36,'Données projet'!$B$36,N70+M71-V70)))</f>
        <v>330</v>
      </c>
      <c r="O71" s="14">
        <f>N71*VLOOKUP('Données projet'!$B$9,Paramètres!$A$1:$I$89,3,0)*VLOOKUP('Données projet'!$B$9,Paramètres!$A$1:$I$89,5,0)</f>
        <v>154.44</v>
      </c>
      <c r="P71" s="14">
        <f t="shared" si="87"/>
        <v>39.58587217095549</v>
      </c>
      <c r="Q71" s="22">
        <f t="shared" si="54"/>
        <v>337.92839403108081</v>
      </c>
      <c r="R71" s="62">
        <f t="shared" si="55"/>
        <v>631.26172736441413</v>
      </c>
      <c r="S71" s="62">
        <f ca="1">AVERAGE(OFFSET($R$3,0,0,'Données projet'!$E$9+1,1))-AVERAGE(OFFSET($H$3,0,0,'Données projet'!$E$9+1,1))</f>
        <v>173.76802753906867</v>
      </c>
      <c r="T71" s="62">
        <f t="shared" si="88"/>
        <v>153.4527010894717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-2.2737367544323206E-13</v>
      </c>
      <c r="AJ71" s="14">
        <f>AI71*VLOOKUP('Données projet'!$B$10,Paramètres!$A$1:$I$89,3,0)*VLOOKUP('Données projet'!$B$10,Paramètres!$A$1:$I$89,5,0)</f>
        <v>-1.2710188457276673E-13</v>
      </c>
      <c r="AK71" s="14" t="e">
        <f t="shared" si="89"/>
        <v>#NUM!</v>
      </c>
      <c r="AL71" s="22" t="e">
        <f t="shared" si="58"/>
        <v>#NUM!</v>
      </c>
      <c r="AM71" s="62" t="e">
        <f t="shared" si="59"/>
        <v>#NUM!</v>
      </c>
      <c r="AN71" s="62">
        <f ca="1">AVERAGE(OFFSET($AM$3,0,0,'Données projet'!$E$10+1,1))-AVERAGE(OFFSET($H$3,0,0,'Données projet'!$E$10+1,1))</f>
        <v>382.55387448074327</v>
      </c>
      <c r="AO71" s="62">
        <f t="shared" si="90"/>
        <v>476.29465646955543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5.981516601801367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5.1015404352369816E-5</v>
      </c>
      <c r="AX71" s="23">
        <f t="shared" si="60"/>
        <v>5.9815676172057195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2">
        <f t="shared" si="86"/>
        <v>10.174252485373691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70">
        <f t="shared" si="56"/>
        <v>368.85766474535927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7.5</v>
      </c>
      <c r="N72" s="14">
        <f>IF('Données projet'!$A$36&gt;35,N71+M72-V71,IF(A72&lt;'Données projet'!$A$36,$K$205^A72,IF(A72='Données projet'!$A$36,'Données projet'!$B$36,N71+M72-V71)))</f>
        <v>337.5</v>
      </c>
      <c r="O72" s="14">
        <f>N72*VLOOKUP('Données projet'!$B$9,Paramètres!$A$1:$I$89,3,0)*VLOOKUP('Données projet'!$B$9,Paramètres!$A$1:$I$89,5,0)</f>
        <v>157.95000000000002</v>
      </c>
      <c r="P72" s="14">
        <f t="shared" si="87"/>
        <v>40.379785735878301</v>
      </c>
      <c r="Q72" s="22">
        <f t="shared" si="54"/>
        <v>345.42437682332138</v>
      </c>
      <c r="R72" s="62">
        <f t="shared" si="55"/>
        <v>638.75771015665464</v>
      </c>
      <c r="S72" s="62">
        <f ca="1">AVERAGE(OFFSET($R$3,0,0,'Données projet'!$E$9+1,1))-AVERAGE(OFFSET($H$3,0,0,'Données projet'!$E$9+1,1))</f>
        <v>173.76802753906867</v>
      </c>
      <c r="T72" s="62">
        <f t="shared" si="88"/>
        <v>153.4527010894717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-2.2737367544323206E-13</v>
      </c>
      <c r="AJ72" s="14">
        <f>AI72*VLOOKUP('Données projet'!$B$10,Paramètres!$A$1:$I$89,3,0)*VLOOKUP('Données projet'!$B$10,Paramètres!$A$1:$I$89,5,0)</f>
        <v>-1.2710188457276673E-13</v>
      </c>
      <c r="AK72" s="14" t="e">
        <f t="shared" si="89"/>
        <v>#NUM!</v>
      </c>
      <c r="AL72" s="22" t="e">
        <f t="shared" si="58"/>
        <v>#NUM!</v>
      </c>
      <c r="AM72" s="62" t="e">
        <f t="shared" si="59"/>
        <v>#NUM!</v>
      </c>
      <c r="AN72" s="62">
        <f ca="1">AVERAGE(OFFSET($AM$3,0,0,'Données projet'!$E$10+1,1))-AVERAGE(OFFSET($H$3,0,0,'Données projet'!$E$10+1,1))</f>
        <v>382.55387448074327</v>
      </c>
      <c r="AO72" s="62">
        <f t="shared" si="90"/>
        <v>476.29465646955543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5.8642227096049231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3.6073338362534407E-5</v>
      </c>
      <c r="AX72" s="23">
        <f t="shared" si="60"/>
        <v>5.8642587829432857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2">
        <f t="shared" si="86"/>
        <v>10.304432590265302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70">
        <f t="shared" si="56"/>
        <v>369.92213676137879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345</v>
      </c>
      <c r="L73" s="13">
        <f>VLOOKUP(A73,'Données projet'!$A$35:$I$55,9,0)</f>
        <v>7.5</v>
      </c>
      <c r="M73" s="13">
        <f t="array" ref="M73">INDEX(L:L,MIN(IF(ISNUMBER(L73:L269),ROW(L73:L269),"")))</f>
        <v>7.5</v>
      </c>
      <c r="N73" s="14">
        <f>IF('Données projet'!$A$36&gt;35,N72+M73-V72,IF(A73&lt;'Données projet'!$A$36,$K$205^A73,IF(A73='Données projet'!$A$36,'Données projet'!$B$36,N72+M73-V72)))</f>
        <v>345</v>
      </c>
      <c r="O73" s="14">
        <f>N73*VLOOKUP('Données projet'!$B$9,Paramètres!$A$1:$I$89,3,0)*VLOOKUP('Données projet'!$B$9,Paramètres!$A$1:$I$89,5,0)</f>
        <v>161.45999999999998</v>
      </c>
      <c r="P73" s="14">
        <f t="shared" si="87"/>
        <v>41.171648186302534</v>
      </c>
      <c r="Q73" s="22">
        <f t="shared" si="54"/>
        <v>352.9167872578102</v>
      </c>
      <c r="R73" s="62">
        <f t="shared" si="55"/>
        <v>646.25012059114351</v>
      </c>
      <c r="S73" s="62">
        <f ca="1">AVERAGE(OFFSET($R$3,0,0,'Données projet'!$E$9+1,1))-AVERAGE(OFFSET($H$3,0,0,'Données projet'!$E$9+1,1))</f>
        <v>173.76802753906867</v>
      </c>
      <c r="T73" s="62">
        <f t="shared" si="88"/>
        <v>153.4527010894717</v>
      </c>
      <c r="U73" s="16">
        <f>IF(ISNA(VLOOKUP(A73,'Données projet'!$A$35:$I$55,3,0)),0,VLOOKUP(A73,'Données projet'!$A$35:$I$55,3,0))</f>
        <v>6</v>
      </c>
      <c r="V73" s="16">
        <f>IF(ISNA(VLOOKUP(A73,'Données projet'!$A$35:$I$55,4,0)),0,VLOOKUP(A73,'Données projet'!$A$35:$I$55,4,0))</f>
        <v>69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-2.2737367544323206E-13</v>
      </c>
      <c r="AJ73" s="14">
        <f>AI73*VLOOKUP('Données projet'!$B$10,Paramètres!$A$1:$I$89,3,0)*VLOOKUP('Données projet'!$B$10,Paramètres!$A$1:$I$89,5,0)</f>
        <v>-1.2710188457276673E-13</v>
      </c>
      <c r="AK73" s="14" t="e">
        <f t="shared" si="89"/>
        <v>#NUM!</v>
      </c>
      <c r="AL73" s="22" t="e">
        <f t="shared" si="58"/>
        <v>#NUM!</v>
      </c>
      <c r="AM73" s="62" t="e">
        <f t="shared" si="59"/>
        <v>#NUM!</v>
      </c>
      <c r="AN73" s="62">
        <f ca="1">AVERAGE(OFFSET($AM$3,0,0,'Données projet'!$E$10+1,1))-AVERAGE(OFFSET($H$3,0,0,'Données projet'!$E$10+1,1))</f>
        <v>382.55387448074327</v>
      </c>
      <c r="AO73" s="62">
        <f t="shared" si="90"/>
        <v>476.29465646955543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5.7492288790922412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2.5507702176184908E-5</v>
      </c>
      <c r="AX73" s="23">
        <f t="shared" si="60"/>
        <v>5.7492543867944175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2">
        <f t="shared" si="86"/>
        <v>10.434396396340826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70">
        <f t="shared" si="56"/>
        <v>370.98623205696038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7.7</v>
      </c>
      <c r="N74" s="14">
        <f>IF('Données projet'!$A$36&gt;35,N73+M74-V73,IF(A74&lt;'Données projet'!$A$36,$K$205^A74,IF(A74='Données projet'!$A$36,'Données projet'!$B$36,N73+M74-V73)))</f>
        <v>283.7</v>
      </c>
      <c r="O74" s="14">
        <f>N74*VLOOKUP('Données projet'!$B$9,Paramètres!$A$1:$I$89,3,0)*VLOOKUP('Données projet'!$B$9,Paramètres!$A$1:$I$89,5,0)</f>
        <v>132.77160000000001</v>
      </c>
      <c r="P74" s="14">
        <f t="shared" si="87"/>
        <v>34.63600628318656</v>
      </c>
      <c r="Q74" s="22">
        <f t="shared" si="54"/>
        <v>291.56824760988326</v>
      </c>
      <c r="R74" s="62">
        <f t="shared" si="55"/>
        <v>584.90158094321657</v>
      </c>
      <c r="S74" s="62">
        <f ca="1">AVERAGE(OFFSET($R$3,0,0,'Données projet'!$E$9+1,1))-AVERAGE(OFFSET($H$3,0,0,'Données projet'!$E$9+1,1))</f>
        <v>173.76802753906867</v>
      </c>
      <c r="T74" s="62">
        <f t="shared" si="88"/>
        <v>153.4527010894717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-2.2737367544323206E-13</v>
      </c>
      <c r="AJ74" s="14">
        <f>AI74*VLOOKUP('Données projet'!$B$10,Paramètres!$A$1:$I$89,3,0)*VLOOKUP('Données projet'!$B$10,Paramètres!$A$1:$I$89,5,0)</f>
        <v>-1.2710188457276673E-13</v>
      </c>
      <c r="AK74" s="14" t="e">
        <f t="shared" si="89"/>
        <v>#NUM!</v>
      </c>
      <c r="AL74" s="22" t="e">
        <f t="shared" si="58"/>
        <v>#NUM!</v>
      </c>
      <c r="AM74" s="62" t="e">
        <f t="shared" si="59"/>
        <v>#NUM!</v>
      </c>
      <c r="AN74" s="62">
        <f ca="1">AVERAGE(OFFSET($AM$3,0,0,'Données projet'!$E$10+1,1))-AVERAGE(OFFSET($H$3,0,0,'Données projet'!$E$10+1,1))</f>
        <v>382.55387448074327</v>
      </c>
      <c r="AO74" s="62">
        <f t="shared" si="90"/>
        <v>476.29465646955543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5.6364900074566027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1.8036669181267204E-5</v>
      </c>
      <c r="AX74" s="23">
        <f t="shared" si="60"/>
        <v>5.636508044125784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2">
        <f t="shared" si="86"/>
        <v>10.564147302110412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70">
        <f t="shared" si="56"/>
        <v>372.04995655117574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7.7</v>
      </c>
      <c r="N75" s="14">
        <f>IF('Données projet'!$A$36&gt;35,N74+M75-V74,IF(A75&lt;'Données projet'!$A$36,$K$205^A75,IF(A75='Données projet'!$A$36,'Données projet'!$B$36,N74+M75-V74)))</f>
        <v>291.39999999999998</v>
      </c>
      <c r="O75" s="14">
        <f>N75*VLOOKUP('Données projet'!$B$9,Paramètres!$A$1:$I$89,3,0)*VLOOKUP('Données projet'!$B$9,Paramètres!$A$1:$I$89,5,0)</f>
        <v>136.37519999999998</v>
      </c>
      <c r="P75" s="14">
        <f t="shared" si="87"/>
        <v>35.465351191683979</v>
      </c>
      <c r="Q75" s="22">
        <f t="shared" si="54"/>
        <v>299.28895999218292</v>
      </c>
      <c r="R75" s="62">
        <f t="shared" si="55"/>
        <v>592.62229332551624</v>
      </c>
      <c r="S75" s="62">
        <f ca="1">AVERAGE(OFFSET($R$3,0,0,'Données projet'!$E$9+1,1))-AVERAGE(OFFSET($H$3,0,0,'Données projet'!$E$9+1,1))</f>
        <v>173.76802753906867</v>
      </c>
      <c r="T75" s="62">
        <f t="shared" si="88"/>
        <v>153.4527010894717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-2.2737367544323206E-13</v>
      </c>
      <c r="AJ75" s="14">
        <f>AI75*VLOOKUP('Données projet'!$B$10,Paramètres!$A$1:$I$89,3,0)*VLOOKUP('Données projet'!$B$10,Paramètres!$A$1:$I$89,5,0)</f>
        <v>-1.2710188457276673E-13</v>
      </c>
      <c r="AK75" s="14" t="e">
        <f t="shared" si="89"/>
        <v>#NUM!</v>
      </c>
      <c r="AL75" s="22" t="e">
        <f t="shared" si="58"/>
        <v>#NUM!</v>
      </c>
      <c r="AM75" s="62" t="e">
        <f t="shared" si="59"/>
        <v>#NUM!</v>
      </c>
      <c r="AN75" s="62">
        <f ca="1">AVERAGE(OFFSET($AM$3,0,0,'Données projet'!$E$10+1,1))-AVERAGE(OFFSET($H$3,0,0,'Données projet'!$E$10+1,1))</f>
        <v>382.55387448074327</v>
      </c>
      <c r="AO75" s="62">
        <f t="shared" si="90"/>
        <v>476.29465646955543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5.5259618763298173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1.2753851088092454E-5</v>
      </c>
      <c r="AX75" s="23">
        <f t="shared" si="60"/>
        <v>5.5259746301809054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2">
        <f t="shared" si="86"/>
        <v>10.693688606258034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70">
        <f t="shared" si="56"/>
        <v>373.11331598923283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7.7</v>
      </c>
      <c r="N76" s="14">
        <f>IF('Données projet'!$A$36&gt;35,N75+M76-V75,IF(A76&lt;'Données projet'!$A$36,$K$205^A76,IF(A76='Données projet'!$A$36,'Données projet'!$B$36,N75+M76-V75)))</f>
        <v>299.09999999999997</v>
      </c>
      <c r="O76" s="14">
        <f>N76*VLOOKUP('Données projet'!$B$9,Paramètres!$A$1:$I$89,3,0)*VLOOKUP('Données projet'!$B$9,Paramètres!$A$1:$I$89,5,0)</f>
        <v>139.97879999999998</v>
      </c>
      <c r="P76" s="14">
        <f t="shared" si="87"/>
        <v>36.292148829903653</v>
      </c>
      <c r="Q76" s="22">
        <f t="shared" si="54"/>
        <v>307.00523587874881</v>
      </c>
      <c r="R76" s="62">
        <f t="shared" si="55"/>
        <v>600.33856921208212</v>
      </c>
      <c r="S76" s="62">
        <f ca="1">AVERAGE(OFFSET($R$3,0,0,'Données projet'!$E$9+1,1))-AVERAGE(OFFSET($H$3,0,0,'Données projet'!$E$9+1,1))</f>
        <v>173.76802753906867</v>
      </c>
      <c r="T76" s="62">
        <f t="shared" si="88"/>
        <v>153.4527010894717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-2.2737367544323206E-13</v>
      </c>
      <c r="AJ76" s="14">
        <f>AI76*VLOOKUP('Données projet'!$B$10,Paramètres!$A$1:$I$89,3,0)*VLOOKUP('Données projet'!$B$10,Paramètres!$A$1:$I$89,5,0)</f>
        <v>-1.2710188457276673E-13</v>
      </c>
      <c r="AK76" s="14" t="e">
        <f t="shared" si="89"/>
        <v>#NUM!</v>
      </c>
      <c r="AL76" s="22" t="e">
        <f t="shared" si="58"/>
        <v>#NUM!</v>
      </c>
      <c r="AM76" s="62" t="e">
        <f t="shared" si="59"/>
        <v>#NUM!</v>
      </c>
      <c r="AN76" s="62">
        <f ca="1">AVERAGE(OFFSET($AM$3,0,0,'Données projet'!$E$10+1,1))-AVERAGE(OFFSET($H$3,0,0,'Données projet'!$E$10+1,1))</f>
        <v>382.55387448074327</v>
      </c>
      <c r="AO76" s="62">
        <f t="shared" si="90"/>
        <v>476.29465646955543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5.4176011344389243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9.0183345906336018E-6</v>
      </c>
      <c r="AX76" s="23">
        <f t="shared" si="60"/>
        <v>5.4176101527735145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2">
        <f t="shared" si="86"/>
        <v>10.823023511900249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70">
        <f t="shared" si="56"/>
        <v>374.17631594989302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7.7</v>
      </c>
      <c r="N77" s="14">
        <f>IF('Données projet'!$A$36&gt;35,N76+M77-V76,IF(A77&lt;'Données projet'!$A$36,$K$205^A77,IF(A77='Données projet'!$A$36,'Données projet'!$B$36,N76+M77-V76)))</f>
        <v>306.79999999999995</v>
      </c>
      <c r="O77" s="14">
        <f>N77*VLOOKUP('Données projet'!$B$9,Paramètres!$A$1:$I$89,3,0)*VLOOKUP('Données projet'!$B$9,Paramètres!$A$1:$I$89,5,0)</f>
        <v>143.58239999999998</v>
      </c>
      <c r="P77" s="14">
        <f t="shared" si="87"/>
        <v>37.116472314400653</v>
      </c>
      <c r="Q77" s="22">
        <f t="shared" si="54"/>
        <v>314.71720261424775</v>
      </c>
      <c r="R77" s="62">
        <f t="shared" si="55"/>
        <v>608.05053594758101</v>
      </c>
      <c r="S77" s="62">
        <f ca="1">AVERAGE(OFFSET($R$3,0,0,'Données projet'!$E$9+1,1))-AVERAGE(OFFSET($H$3,0,0,'Données projet'!$E$9+1,1))</f>
        <v>173.76802753906867</v>
      </c>
      <c r="T77" s="62">
        <f t="shared" si="88"/>
        <v>153.4527010894717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-2.2737367544323206E-13</v>
      </c>
      <c r="AJ77" s="14">
        <f>AI77*VLOOKUP('Données projet'!$B$10,Paramètres!$A$1:$I$89,3,0)*VLOOKUP('Données projet'!$B$10,Paramètres!$A$1:$I$89,5,0)</f>
        <v>-1.2710188457276673E-13</v>
      </c>
      <c r="AK77" s="14" t="e">
        <f t="shared" si="89"/>
        <v>#NUM!</v>
      </c>
      <c r="AL77" s="22" t="e">
        <f t="shared" si="58"/>
        <v>#NUM!</v>
      </c>
      <c r="AM77" s="62" t="e">
        <f t="shared" si="59"/>
        <v>#NUM!</v>
      </c>
      <c r="AN77" s="62">
        <f ca="1">AVERAGE(OFFSET($AM$3,0,0,'Données projet'!$E$10+1,1))-AVERAGE(OFFSET($H$3,0,0,'Données projet'!$E$10+1,1))</f>
        <v>382.55387448074327</v>
      </c>
      <c r="AO77" s="62">
        <f t="shared" si="90"/>
        <v>476.29465646955543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5.3113652806029856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6.376925544046227E-6</v>
      </c>
      <c r="AX77" s="23">
        <f t="shared" si="60"/>
        <v>5.3113716575285297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2">
        <f t="shared" si="86"/>
        <v>10.952155130608178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70">
        <f t="shared" si="56"/>
        <v>375.238961852476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7.7</v>
      </c>
      <c r="N78" s="14">
        <f>IF('Données projet'!$A$36&gt;35,N77+M78-V77,IF(A78&lt;'Données projet'!$A$36,$K$205^A78,IF(A78='Données projet'!$A$36,'Données projet'!$B$36,N77+M78-V77)))</f>
        <v>314.49999999999994</v>
      </c>
      <c r="O78" s="14">
        <f>N78*VLOOKUP('Données projet'!$B$9,Paramètres!$A$1:$I$89,3,0)*VLOOKUP('Données projet'!$B$9,Paramètres!$A$1:$I$89,5,0)</f>
        <v>147.18599999999998</v>
      </c>
      <c r="P78" s="14">
        <f t="shared" si="87"/>
        <v>37.938390882441361</v>
      </c>
      <c r="Q78" s="22">
        <f t="shared" si="54"/>
        <v>322.42498078691864</v>
      </c>
      <c r="R78" s="62">
        <f t="shared" si="55"/>
        <v>615.75831412025195</v>
      </c>
      <c r="S78" s="62">
        <f ca="1">AVERAGE(OFFSET($R$3,0,0,'Données projet'!$E$9+1,1))-AVERAGE(OFFSET($H$3,0,0,'Données projet'!$E$9+1,1))</f>
        <v>173.76802753906867</v>
      </c>
      <c r="T78" s="62">
        <f t="shared" si="88"/>
        <v>153.4527010894717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-2.2737367544323206E-13</v>
      </c>
      <c r="AJ78" s="14">
        <f>AI78*VLOOKUP('Données projet'!$B$10,Paramètres!$A$1:$I$89,3,0)*VLOOKUP('Données projet'!$B$10,Paramètres!$A$1:$I$89,5,0)</f>
        <v>-1.2710188457276673E-13</v>
      </c>
      <c r="AK78" s="14" t="e">
        <f t="shared" si="89"/>
        <v>#NUM!</v>
      </c>
      <c r="AL78" s="22" t="e">
        <f t="shared" si="58"/>
        <v>#NUM!</v>
      </c>
      <c r="AM78" s="62" t="e">
        <f t="shared" si="59"/>
        <v>#NUM!</v>
      </c>
      <c r="AN78" s="62">
        <f ca="1">AVERAGE(OFFSET($AM$3,0,0,'Données projet'!$E$10+1,1))-AVERAGE(OFFSET($H$3,0,0,'Données projet'!$E$10+1,1))</f>
        <v>382.55387448074327</v>
      </c>
      <c r="AO78" s="62">
        <f t="shared" si="90"/>
        <v>476.29465646955543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5.2072126470632973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4.5091672953168009E-6</v>
      </c>
      <c r="AX78" s="23">
        <f t="shared" si="60"/>
        <v>5.2072171562305929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2">
        <f t="shared" si="86"/>
        <v>11.081086486208905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70">
        <f t="shared" si="56"/>
        <v>376.30125896348062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7.7</v>
      </c>
      <c r="N79" s="14">
        <f>IF('Données projet'!$A$36&gt;35,N78+M79-V78,IF(A79&lt;'Données projet'!$A$36,$K$205^A79,IF(A79='Données projet'!$A$36,'Données projet'!$B$36,N78+M79-V78)))</f>
        <v>322.19999999999993</v>
      </c>
      <c r="O79" s="14">
        <f>N79*VLOOKUP('Données projet'!$B$9,Paramètres!$A$1:$I$89,3,0)*VLOOKUP('Données projet'!$B$9,Paramètres!$A$1:$I$89,5,0)</f>
        <v>150.78959999999998</v>
      </c>
      <c r="P79" s="14">
        <f t="shared" si="87"/>
        <v>38.757970187689722</v>
      </c>
      <c r="Q79" s="22">
        <f t="shared" si="54"/>
        <v>330.12868474355952</v>
      </c>
      <c r="R79" s="62">
        <f t="shared" si="55"/>
        <v>623.46201807689283</v>
      </c>
      <c r="S79" s="62">
        <f ca="1">AVERAGE(OFFSET($R$3,0,0,'Données projet'!$E$9+1,1))-AVERAGE(OFFSET($H$3,0,0,'Données projet'!$E$9+1,1))</f>
        <v>173.76802753906867</v>
      </c>
      <c r="T79" s="62">
        <f t="shared" si="88"/>
        <v>153.4527010894717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-2.2737367544323206E-13</v>
      </c>
      <c r="AJ79" s="14">
        <f>AI79*VLOOKUP('Données projet'!$B$10,Paramètres!$A$1:$I$89,3,0)*VLOOKUP('Données projet'!$B$10,Paramètres!$A$1:$I$89,5,0)</f>
        <v>-1.2710188457276673E-13</v>
      </c>
      <c r="AK79" s="14" t="e">
        <f t="shared" si="89"/>
        <v>#NUM!</v>
      </c>
      <c r="AL79" s="22" t="e">
        <f t="shared" si="58"/>
        <v>#NUM!</v>
      </c>
      <c r="AM79" s="62" t="e">
        <f t="shared" si="59"/>
        <v>#NUM!</v>
      </c>
      <c r="AN79" s="62">
        <f ca="1">AVERAGE(OFFSET($AM$3,0,0,'Données projet'!$E$10+1,1))-AVERAGE(OFFSET($H$3,0,0,'Données projet'!$E$10+1,1))</f>
        <v>382.55387448074327</v>
      </c>
      <c r="AO79" s="62">
        <f t="shared" si="90"/>
        <v>476.29465646955543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5.1051023831404887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3.1884627720231135E-6</v>
      </c>
      <c r="AX79" s="23">
        <f t="shared" si="60"/>
        <v>5.1051055716032607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2">
        <f t="shared" si="86"/>
        <v>11.209820518381111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70">
        <f t="shared" si="56"/>
        <v>377.36321240284718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7.7</v>
      </c>
      <c r="N80" s="14">
        <f>IF('Données projet'!$A$36&gt;35,N79+M80-V79,IF(A80&lt;'Données projet'!$A$36,$K$205^A80,IF(A80='Données projet'!$A$36,'Données projet'!$B$36,N79+M80-V79)))</f>
        <v>329.89999999999992</v>
      </c>
      <c r="O80" s="14">
        <f>N80*VLOOKUP('Données projet'!$B$9,Paramètres!$A$1:$I$89,3,0)*VLOOKUP('Données projet'!$B$9,Paramètres!$A$1:$I$89,5,0)</f>
        <v>154.39319999999995</v>
      </c>
      <c r="P80" s="14">
        <f t="shared" si="87"/>
        <v>39.575272566832489</v>
      </c>
      <c r="Q80" s="22">
        <f t="shared" si="54"/>
        <v>337.82842305389983</v>
      </c>
      <c r="R80" s="62">
        <f t="shared" si="55"/>
        <v>631.16175638723314</v>
      </c>
      <c r="S80" s="62">
        <f ca="1">AVERAGE(OFFSET($R$3,0,0,'Données projet'!$E$9+1,1))-AVERAGE(OFFSET($H$3,0,0,'Données projet'!$E$9+1,1))</f>
        <v>173.76802753906867</v>
      </c>
      <c r="T80" s="62">
        <f t="shared" si="88"/>
        <v>153.4527010894717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-2.2737367544323206E-13</v>
      </c>
      <c r="AJ80" s="14">
        <f>AI80*VLOOKUP('Données projet'!$B$10,Paramètres!$A$1:$I$89,3,0)*VLOOKUP('Données projet'!$B$10,Paramètres!$A$1:$I$89,5,0)</f>
        <v>-1.2710188457276673E-13</v>
      </c>
      <c r="AK80" s="14" t="e">
        <f t="shared" si="89"/>
        <v>#NUM!</v>
      </c>
      <c r="AL80" s="22" t="e">
        <f t="shared" si="58"/>
        <v>#NUM!</v>
      </c>
      <c r="AM80" s="62" t="e">
        <f t="shared" si="59"/>
        <v>#NUM!</v>
      </c>
      <c r="AN80" s="62">
        <f ca="1">AVERAGE(OFFSET($AM$3,0,0,'Données projet'!$E$10+1,1))-AVERAGE(OFFSET($H$3,0,0,'Données projet'!$E$10+1,1))</f>
        <v>382.55387448074327</v>
      </c>
      <c r="AO80" s="62">
        <f t="shared" si="90"/>
        <v>476.29465646955543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5.0049944392120951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2.2545836476584005E-6</v>
      </c>
      <c r="AX80" s="23">
        <f t="shared" si="60"/>
        <v>5.0049966937957429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2">
        <f t="shared" si="86"/>
        <v>11.338360086058589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70">
        <f t="shared" si="56"/>
        <v>378.42482714988546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7.7</v>
      </c>
      <c r="N81" s="14">
        <f>IF('Données projet'!$A$36&gt;35,N80+M81-V80,IF(A81&lt;'Données projet'!$A$36,$K$205^A81,IF(A81='Données projet'!$A$36,'Données projet'!$B$36,N80+M81-V80)))</f>
        <v>337.59999999999991</v>
      </c>
      <c r="O81" s="14">
        <f>N81*VLOOKUP('Données projet'!$B$9,Paramètres!$A$1:$I$89,3,0)*VLOOKUP('Données projet'!$B$9,Paramètres!$A$1:$I$89,5,0)</f>
        <v>157.99679999999995</v>
      </c>
      <c r="P81" s="14">
        <f t="shared" si="87"/>
        <v>40.390357280610026</v>
      </c>
      <c r="Q81" s="22">
        <f t="shared" si="54"/>
        <v>345.52429893039567</v>
      </c>
      <c r="R81" s="62">
        <f t="shared" si="55"/>
        <v>638.85763226372899</v>
      </c>
      <c r="S81" s="62">
        <f ca="1">AVERAGE(OFFSET($R$3,0,0,'Données projet'!$E$9+1,1))-AVERAGE(OFFSET($H$3,0,0,'Données projet'!$E$9+1,1))</f>
        <v>173.76802753906867</v>
      </c>
      <c r="T81" s="62">
        <f t="shared" si="88"/>
        <v>153.4527010894717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-2.2737367544323206E-13</v>
      </c>
      <c r="AJ81" s="14">
        <f>AI81*VLOOKUP('Données projet'!$B$10,Paramètres!$A$1:$I$89,3,0)*VLOOKUP('Données projet'!$B$10,Paramètres!$A$1:$I$89,5,0)</f>
        <v>-1.2710188457276673E-13</v>
      </c>
      <c r="AK81" s="14" t="e">
        <f t="shared" si="89"/>
        <v>#NUM!</v>
      </c>
      <c r="AL81" s="22" t="e">
        <f t="shared" si="58"/>
        <v>#NUM!</v>
      </c>
      <c r="AM81" s="62" t="e">
        <f t="shared" si="59"/>
        <v>#NUM!</v>
      </c>
      <c r="AN81" s="62">
        <f ca="1">AVERAGE(OFFSET($AM$3,0,0,'Données projet'!$E$10+1,1))-AVERAGE(OFFSET($H$3,0,0,'Données projet'!$E$10+1,1))</f>
        <v>382.55387448074327</v>
      </c>
      <c r="AO81" s="62">
        <f t="shared" si="90"/>
        <v>476.29465646955543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4.9068495510043206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1.5942313860115568E-6</v>
      </c>
      <c r="AX81" s="23">
        <f t="shared" si="60"/>
        <v>4.9068511452357066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2">
        <f t="shared" si="86"/>
        <v>11.466707970654253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70">
        <f t="shared" si="56"/>
        <v>379.48610804888961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7.7</v>
      </c>
      <c r="N82" s="14">
        <f>IF('Données projet'!$A$36&gt;35,N81+M82-V81,IF(A82&lt;'Données projet'!$A$36,$K$205^A82,IF(A82='Données projet'!$A$36,'Données projet'!$B$36,N81+M82-V81)))</f>
        <v>345.2999999999999</v>
      </c>
      <c r="O82" s="14">
        <f>N82*VLOOKUP('Données projet'!$B$9,Paramètres!$A$1:$I$89,3,0)*VLOOKUP('Données projet'!$B$9,Paramètres!$A$1:$I$89,5,0)</f>
        <v>161.60039999999995</v>
      </c>
      <c r="P82" s="14">
        <f t="shared" si="87"/>
        <v>41.203280732237822</v>
      </c>
      <c r="Q82" s="22">
        <f t="shared" si="54"/>
        <v>353.21641060864749</v>
      </c>
      <c r="R82" s="62">
        <f t="shared" si="55"/>
        <v>646.54974394198075</v>
      </c>
      <c r="S82" s="62">
        <f ca="1">AVERAGE(OFFSET($R$3,0,0,'Données projet'!$E$9+1,1))-AVERAGE(OFFSET($H$3,0,0,'Données projet'!$E$9+1,1))</f>
        <v>173.76802753906867</v>
      </c>
      <c r="T82" s="62">
        <f t="shared" si="88"/>
        <v>153.4527010894717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-2.2737367544323206E-13</v>
      </c>
      <c r="AJ82" s="14">
        <f>AI82*VLOOKUP('Données projet'!$B$10,Paramètres!$A$1:$I$89,3,0)*VLOOKUP('Données projet'!$B$10,Paramètres!$A$1:$I$89,5,0)</f>
        <v>-1.2710188457276673E-13</v>
      </c>
      <c r="AK82" s="14" t="e">
        <f t="shared" si="89"/>
        <v>#NUM!</v>
      </c>
      <c r="AL82" s="22" t="e">
        <f t="shared" si="58"/>
        <v>#NUM!</v>
      </c>
      <c r="AM82" s="62" t="e">
        <f t="shared" si="59"/>
        <v>#NUM!</v>
      </c>
      <c r="AN82" s="62">
        <f ca="1">AVERAGE(OFFSET($AM$3,0,0,'Données projet'!$E$10+1,1))-AVERAGE(OFFSET($H$3,0,0,'Données projet'!$E$10+1,1))</f>
        <v>382.55387448074327</v>
      </c>
      <c r="AO82" s="62">
        <f t="shared" si="90"/>
        <v>476.29465646955543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4.8106292241918291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1.1272918238292002E-6</v>
      </c>
      <c r="AX82" s="23">
        <f t="shared" si="60"/>
        <v>4.8106303514836526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2">
        <f t="shared" si="86"/>
        <v>11.594866879116264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70">
        <f t="shared" si="56"/>
        <v>380.54705981446097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353</v>
      </c>
      <c r="L83" s="13">
        <f>VLOOKUP(A83,'Données projet'!$A$35:$I$55,9,0)</f>
        <v>7.7</v>
      </c>
      <c r="M83" s="13">
        <f t="array" ref="M83">INDEX(L:L,MIN(IF(ISNUMBER(L83:L279),ROW(L83:L279),"")))</f>
        <v>7.7</v>
      </c>
      <c r="N83" s="14">
        <f>IF('Données projet'!$A$36&gt;35,N82+M83-V82,IF(A83&lt;'Données projet'!$A$36,$K$205^A83,IF(A83='Données projet'!$A$36,'Données projet'!$B$36,N82+M83-V82)))</f>
        <v>352.99999999999989</v>
      </c>
      <c r="O83" s="14">
        <f>N83*VLOOKUP('Données projet'!$B$9,Paramètres!$A$1:$I$89,3,0)*VLOOKUP('Données projet'!$B$9,Paramètres!$A$1:$I$89,5,0)</f>
        <v>165.20399999999995</v>
      </c>
      <c r="P83" s="14">
        <f t="shared" si="87"/>
        <v>42.014096665795854</v>
      </c>
      <c r="Q83" s="22">
        <f t="shared" si="54"/>
        <v>360.90485169292765</v>
      </c>
      <c r="R83" s="62">
        <f t="shared" si="55"/>
        <v>654.23818502626091</v>
      </c>
      <c r="S83" s="62">
        <f ca="1">AVERAGE(OFFSET($R$3,0,0,'Données projet'!$E$9+1,1))-AVERAGE(OFFSET($H$3,0,0,'Données projet'!$E$9+1,1))</f>
        <v>173.76802753906867</v>
      </c>
      <c r="T83" s="62">
        <f t="shared" si="88"/>
        <v>153.4527010894717</v>
      </c>
      <c r="U83" s="16">
        <f>IF(ISNA(VLOOKUP(A83,'Données projet'!$A$35:$I$55,3,0)),0,VLOOKUP(A83,'Données projet'!$A$35:$I$55,3,0))</f>
        <v>7</v>
      </c>
      <c r="V83" s="16">
        <f>IF(ISNA(VLOOKUP(A83,'Données projet'!$A$35:$I$55,4,0)),0,VLOOKUP(A83,'Données projet'!$A$35:$I$55,4,0))</f>
        <v>71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-2.2737367544323206E-13</v>
      </c>
      <c r="AJ83" s="14">
        <f>AI83*VLOOKUP('Données projet'!$B$10,Paramètres!$A$1:$I$89,3,0)*VLOOKUP('Données projet'!$B$10,Paramètres!$A$1:$I$89,5,0)</f>
        <v>-1.2710188457276673E-13</v>
      </c>
      <c r="AK83" s="14" t="e">
        <f t="shared" si="89"/>
        <v>#NUM!</v>
      </c>
      <c r="AL83" s="22" t="e">
        <f t="shared" si="58"/>
        <v>#NUM!</v>
      </c>
      <c r="AM83" s="62" t="e">
        <f t="shared" si="59"/>
        <v>#NUM!</v>
      </c>
      <c r="AN83" s="62">
        <f ca="1">AVERAGE(OFFSET($AM$3,0,0,'Données projet'!$E$10+1,1))-AVERAGE(OFFSET($H$3,0,0,'Données projet'!$E$10+1,1))</f>
        <v>382.55387448074327</v>
      </c>
      <c r="AO83" s="62">
        <f t="shared" si="90"/>
        <v>476.29465646955543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4.7162957192995263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7.9711569300577838E-7</v>
      </c>
      <c r="AX83" s="23">
        <f t="shared" si="60"/>
        <v>4.7162965164152189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2">
        <f t="shared" si="86"/>
        <v>11.722839446826988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70">
        <f t="shared" si="56"/>
        <v>381.60768703655714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8.3000000000000007</v>
      </c>
      <c r="N84" s="14">
        <f>IF('Données projet'!$A$36&gt;35,N83+M84-V83,IF(A84&lt;'Données projet'!$A$36,$K$205^A84,IF(A84='Données projet'!$A$36,'Données projet'!$B$36,N83+M84-V83)))</f>
        <v>290.2999999999999</v>
      </c>
      <c r="O84" s="14">
        <f>N84*VLOOKUP('Données projet'!$B$9,Paramètres!$A$1:$I$89,3,0)*VLOOKUP('Données projet'!$B$9,Paramètres!$A$1:$I$89,5,0)</f>
        <v>135.86039999999994</v>
      </c>
      <c r="P84" s="14">
        <f t="shared" si="87"/>
        <v>35.347031059244749</v>
      </c>
      <c r="Q84" s="22">
        <f t="shared" si="54"/>
        <v>298.18627576151783</v>
      </c>
      <c r="R84" s="62">
        <f t="shared" si="55"/>
        <v>591.51960909485115</v>
      </c>
      <c r="S84" s="62">
        <f ca="1">AVERAGE(OFFSET($R$3,0,0,'Données projet'!$E$9+1,1))-AVERAGE(OFFSET($H$3,0,0,'Données projet'!$E$9+1,1))</f>
        <v>173.76802753906867</v>
      </c>
      <c r="T84" s="62">
        <f t="shared" si="88"/>
        <v>153.4527010894717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-2.2737367544323206E-13</v>
      </c>
      <c r="AJ84" s="14">
        <f>AI84*VLOOKUP('Données projet'!$B$10,Paramètres!$A$1:$I$89,3,0)*VLOOKUP('Données projet'!$B$10,Paramètres!$A$1:$I$89,5,0)</f>
        <v>-1.2710188457276673E-13</v>
      </c>
      <c r="AK84" s="14" t="e">
        <f t="shared" si="89"/>
        <v>#NUM!</v>
      </c>
      <c r="AL84" s="22" t="e">
        <f t="shared" si="58"/>
        <v>#NUM!</v>
      </c>
      <c r="AM84" s="62" t="e">
        <f t="shared" si="59"/>
        <v>#NUM!</v>
      </c>
      <c r="AN84" s="62">
        <f ca="1">AVERAGE(OFFSET($AM$3,0,0,'Données projet'!$E$10+1,1))-AVERAGE(OFFSET($H$3,0,0,'Données projet'!$E$10+1,1))</f>
        <v>382.55387448074327</v>
      </c>
      <c r="AO84" s="62">
        <f t="shared" si="90"/>
        <v>476.29465646955543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4.6238120369004054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5.6364591191460012E-7</v>
      </c>
      <c r="AX84" s="23">
        <f t="shared" si="60"/>
        <v>4.6238126005463176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2">
        <f t="shared" si="86"/>
        <v>11.850628240354748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70">
        <f t="shared" si="56"/>
        <v>382.66799418528461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8.3000000000000007</v>
      </c>
      <c r="N85" s="14">
        <f>IF('Données projet'!$A$36&gt;35,N84+M85-V84,IF(A85&lt;'Données projet'!$A$36,$K$205^A85,IF(A85='Données projet'!$A$36,'Données projet'!$B$36,N84+M85-V84)))</f>
        <v>298.59999999999991</v>
      </c>
      <c r="O85" s="14">
        <f>N85*VLOOKUP('Données projet'!$B$9,Paramètres!$A$1:$I$89,3,0)*VLOOKUP('Données projet'!$B$9,Paramètres!$A$1:$I$89,5,0)</f>
        <v>139.74479999999997</v>
      </c>
      <c r="P85" s="14">
        <f t="shared" si="87"/>
        <v>36.238536552104364</v>
      </c>
      <c r="Q85" s="22">
        <f t="shared" si="54"/>
        <v>306.50431116158171</v>
      </c>
      <c r="R85" s="62">
        <f t="shared" si="55"/>
        <v>599.83764449491503</v>
      </c>
      <c r="S85" s="62">
        <f ca="1">AVERAGE(OFFSET($R$3,0,0,'Données projet'!$E$9+1,1))-AVERAGE(OFFSET($H$3,0,0,'Données projet'!$E$9+1,1))</f>
        <v>173.76802753906867</v>
      </c>
      <c r="T85" s="62">
        <f t="shared" si="88"/>
        <v>153.4527010894717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-2.2737367544323206E-13</v>
      </c>
      <c r="AJ85" s="14">
        <f>AI85*VLOOKUP('Données projet'!$B$10,Paramètres!$A$1:$I$89,3,0)*VLOOKUP('Données projet'!$B$10,Paramètres!$A$1:$I$89,5,0)</f>
        <v>-1.2710188457276673E-13</v>
      </c>
      <c r="AK85" s="14" t="e">
        <f t="shared" si="89"/>
        <v>#NUM!</v>
      </c>
      <c r="AL85" s="22" t="e">
        <f t="shared" si="58"/>
        <v>#NUM!</v>
      </c>
      <c r="AM85" s="62" t="e">
        <f t="shared" si="59"/>
        <v>#NUM!</v>
      </c>
      <c r="AN85" s="62">
        <f ca="1">AVERAGE(OFFSET($AM$3,0,0,'Données projet'!$E$10+1,1))-AVERAGE(OFFSET($H$3,0,0,'Données projet'!$E$10+1,1))</f>
        <v>382.55387448074327</v>
      </c>
      <c r="AO85" s="62">
        <f t="shared" si="90"/>
        <v>476.29465646955543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4.5331419031036546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3.9855784650288919E-7</v>
      </c>
      <c r="AX85" s="23">
        <f t="shared" si="60"/>
        <v>4.5331423016615009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2">
        <f t="shared" si="86"/>
        <v>11.978235760067443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70">
        <f t="shared" si="56"/>
        <v>383.7279856154509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8.3000000000000007</v>
      </c>
      <c r="N86" s="14">
        <f>IF('Données projet'!$A$36&gt;35,N85+M86-V85,IF(A86&lt;'Données projet'!$A$36,$K$205^A86,IF(A86='Données projet'!$A$36,'Données projet'!$B$36,N85+M86-V85)))</f>
        <v>306.89999999999992</v>
      </c>
      <c r="O86" s="14">
        <f>N86*VLOOKUP('Données projet'!$B$9,Paramètres!$A$1:$I$89,3,0)*VLOOKUP('Données projet'!$B$9,Paramètres!$A$1:$I$89,5,0)</f>
        <v>143.62919999999997</v>
      </c>
      <c r="P86" s="14">
        <f t="shared" si="87"/>
        <v>37.127161849234348</v>
      </c>
      <c r="Q86" s="22">
        <f t="shared" si="54"/>
        <v>314.81733022074974</v>
      </c>
      <c r="R86" s="62">
        <f t="shared" si="55"/>
        <v>608.15066355408305</v>
      </c>
      <c r="S86" s="62">
        <f ca="1">AVERAGE(OFFSET($R$3,0,0,'Données projet'!$E$9+1,1))-AVERAGE(OFFSET($H$3,0,0,'Données projet'!$E$9+1,1))</f>
        <v>173.76802753906867</v>
      </c>
      <c r="T86" s="62">
        <f t="shared" si="88"/>
        <v>153.4527010894717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-2.2737367544323206E-13</v>
      </c>
      <c r="AJ86" s="14">
        <f>AI86*VLOOKUP('Données projet'!$B$10,Paramètres!$A$1:$I$89,3,0)*VLOOKUP('Données projet'!$B$10,Paramètres!$A$1:$I$89,5,0)</f>
        <v>-1.2710188457276673E-13</v>
      </c>
      <c r="AK86" s="14" t="e">
        <f t="shared" si="89"/>
        <v>#NUM!</v>
      </c>
      <c r="AL86" s="22" t="e">
        <f t="shared" si="58"/>
        <v>#NUM!</v>
      </c>
      <c r="AM86" s="62" t="e">
        <f t="shared" si="59"/>
        <v>#NUM!</v>
      </c>
      <c r="AN86" s="62">
        <f ca="1">AVERAGE(OFFSET($AM$3,0,0,'Données projet'!$E$10+1,1))-AVERAGE(OFFSET($H$3,0,0,'Données projet'!$E$10+1,1))</f>
        <v>382.55387448074327</v>
      </c>
      <c r="AO86" s="62">
        <f t="shared" si="90"/>
        <v>476.29465646955543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4.4442497553273377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2.8182295595730006E-7</v>
      </c>
      <c r="AX86" s="23">
        <f t="shared" si="60"/>
        <v>4.4442500371502938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2">
        <f t="shared" si="86"/>
        <v>12.105664442616733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70">
        <f t="shared" si="56"/>
        <v>384.78766557089091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8.3000000000000007</v>
      </c>
      <c r="N87" s="14">
        <f>IF('Données projet'!$A$36&gt;35,N86+M87-V86,IF(A87&lt;'Données projet'!$A$36,$K$205^A87,IF(A87='Données projet'!$A$36,'Données projet'!$B$36,N86+M87-V86)))</f>
        <v>315.19999999999993</v>
      </c>
      <c r="O87" s="14">
        <f>N87*VLOOKUP('Données projet'!$B$9,Paramètres!$A$1:$I$89,3,0)*VLOOKUP('Données projet'!$B$9,Paramètres!$A$1:$I$89,5,0)</f>
        <v>147.51359999999997</v>
      </c>
      <c r="P87" s="14">
        <f t="shared" si="87"/>
        <v>38.012993796041464</v>
      </c>
      <c r="Q87" s="22">
        <f t="shared" si="54"/>
        <v>323.12548419477213</v>
      </c>
      <c r="R87" s="62">
        <f t="shared" si="55"/>
        <v>616.45881752810544</v>
      </c>
      <c r="S87" s="62">
        <f ca="1">AVERAGE(OFFSET($R$3,0,0,'Données projet'!$E$9+1,1))-AVERAGE(OFFSET($H$3,0,0,'Données projet'!$E$9+1,1))</f>
        <v>173.76802753906867</v>
      </c>
      <c r="T87" s="62">
        <f t="shared" si="88"/>
        <v>153.4527010894717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-2.2737367544323206E-13</v>
      </c>
      <c r="AJ87" s="14">
        <f>AI87*VLOOKUP('Données projet'!$B$10,Paramètres!$A$1:$I$89,3,0)*VLOOKUP('Données projet'!$B$10,Paramètres!$A$1:$I$89,5,0)</f>
        <v>-1.2710188457276673E-13</v>
      </c>
      <c r="AK87" s="14" t="e">
        <f t="shared" si="89"/>
        <v>#NUM!</v>
      </c>
      <c r="AL87" s="22" t="e">
        <f t="shared" si="58"/>
        <v>#NUM!</v>
      </c>
      <c r="AM87" s="62" t="e">
        <f t="shared" si="59"/>
        <v>#NUM!</v>
      </c>
      <c r="AN87" s="62">
        <f ca="1">AVERAGE(OFFSET($AM$3,0,0,'Données projet'!$E$10+1,1))-AVERAGE(OFFSET($H$3,0,0,'Données projet'!$E$10+1,1))</f>
        <v>382.55387448074327</v>
      </c>
      <c r="AO87" s="62">
        <f t="shared" si="90"/>
        <v>476.29465646955543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4.3571007283500576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1.9927892325144459E-7</v>
      </c>
      <c r="AX87" s="23">
        <f t="shared" si="60"/>
        <v>4.3571009276289807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2">
        <f t="shared" si="86"/>
        <v>12.232916663300438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70">
        <f t="shared" si="56"/>
        <v>385.84703818858173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8.3000000000000007</v>
      </c>
      <c r="N88" s="14">
        <f>IF('Données projet'!$A$36&gt;35,N87+M88-V87,IF(A88&lt;'Données projet'!$A$36,$K$205^A88,IF(A88='Données projet'!$A$36,'Données projet'!$B$36,N87+M88-V87)))</f>
        <v>323.49999999999994</v>
      </c>
      <c r="O88" s="14">
        <f>N88*VLOOKUP('Données projet'!$B$9,Paramètres!$A$1:$I$89,3,0)*VLOOKUP('Données projet'!$B$9,Paramètres!$A$1:$I$89,5,0)</f>
        <v>151.39799999999997</v>
      </c>
      <c r="P88" s="14">
        <f t="shared" si="87"/>
        <v>38.896114403754709</v>
      </c>
      <c r="Q88" s="22">
        <f t="shared" si="54"/>
        <v>331.42891591987274</v>
      </c>
      <c r="R88" s="62">
        <f t="shared" si="55"/>
        <v>624.76224925320605</v>
      </c>
      <c r="S88" s="62">
        <f ca="1">AVERAGE(OFFSET($R$3,0,0,'Données projet'!$E$9+1,1))-AVERAGE(OFFSET($H$3,0,0,'Données projet'!$E$9+1,1))</f>
        <v>173.76802753906867</v>
      </c>
      <c r="T88" s="62">
        <f t="shared" si="88"/>
        <v>153.4527010894717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-2.2737367544323206E-13</v>
      </c>
      <c r="AJ88" s="14">
        <f>AI88*VLOOKUP('Données projet'!$B$10,Paramètres!$A$1:$I$89,3,0)*VLOOKUP('Données projet'!$B$10,Paramètres!$A$1:$I$89,5,0)</f>
        <v>-1.2710188457276673E-13</v>
      </c>
      <c r="AK88" s="14" t="e">
        <f t="shared" si="89"/>
        <v>#NUM!</v>
      </c>
      <c r="AL88" s="22" t="e">
        <f t="shared" si="58"/>
        <v>#NUM!</v>
      </c>
      <c r="AM88" s="62" t="e">
        <f t="shared" si="59"/>
        <v>#NUM!</v>
      </c>
      <c r="AN88" s="62">
        <f ca="1">AVERAGE(OFFSET($AM$3,0,0,'Données projet'!$E$10+1,1))-AVERAGE(OFFSET($H$3,0,0,'Données projet'!$E$10+1,1))</f>
        <v>382.55387448074327</v>
      </c>
      <c r="AO88" s="62">
        <f t="shared" si="90"/>
        <v>476.29465646955543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4.2716606406361439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1.4091147797865003E-7</v>
      </c>
      <c r="AX88" s="23">
        <f t="shared" si="60"/>
        <v>4.271660781547622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2">
        <f t="shared" si="86"/>
        <v>12.359994738310691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70">
        <f t="shared" si="56"/>
        <v>386.90610750255792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8.3000000000000007</v>
      </c>
      <c r="N89" s="14">
        <f>IF('Données projet'!$A$36&gt;35,N88+M89-V88,IF(A89&lt;'Données projet'!$A$36,$K$205^A89,IF(A89='Données projet'!$A$36,'Données projet'!$B$36,N88+M89-V88)))</f>
        <v>331.79999999999995</v>
      </c>
      <c r="O89" s="14">
        <f>N89*VLOOKUP('Données projet'!$B$9,Paramètres!$A$1:$I$89,3,0)*VLOOKUP('Données projet'!$B$9,Paramètres!$A$1:$I$89,5,0)</f>
        <v>155.28239999999997</v>
      </c>
      <c r="P89" s="14">
        <f t="shared" si="87"/>
        <v>39.776601235546408</v>
      </c>
      <c r="Q89" s="22">
        <f t="shared" si="54"/>
        <v>339.72776048524321</v>
      </c>
      <c r="R89" s="62">
        <f t="shared" si="55"/>
        <v>633.06109381857652</v>
      </c>
      <c r="S89" s="62">
        <f ca="1">AVERAGE(OFFSET($R$3,0,0,'Données projet'!$E$9+1,1))-AVERAGE(OFFSET($H$3,0,0,'Données projet'!$E$9+1,1))</f>
        <v>173.76802753906867</v>
      </c>
      <c r="T89" s="62">
        <f t="shared" si="88"/>
        <v>153.4527010894717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-2.2737367544323206E-13</v>
      </c>
      <c r="AJ89" s="14">
        <f>AI89*VLOOKUP('Données projet'!$B$10,Paramètres!$A$1:$I$89,3,0)*VLOOKUP('Données projet'!$B$10,Paramètres!$A$1:$I$89,5,0)</f>
        <v>-1.2710188457276673E-13</v>
      </c>
      <c r="AK89" s="14" t="e">
        <f t="shared" si="89"/>
        <v>#NUM!</v>
      </c>
      <c r="AL89" s="22" t="e">
        <f t="shared" si="58"/>
        <v>#NUM!</v>
      </c>
      <c r="AM89" s="62" t="e">
        <f t="shared" si="59"/>
        <v>#NUM!</v>
      </c>
      <c r="AN89" s="62">
        <f ca="1">AVERAGE(OFFSET($AM$3,0,0,'Données projet'!$E$10+1,1))-AVERAGE(OFFSET($H$3,0,0,'Données projet'!$E$10+1,1))</f>
        <v>382.55387448074327</v>
      </c>
      <c r="AO89" s="62">
        <f t="shared" si="90"/>
        <v>476.29465646955543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4.1878959809289924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9.9639461625722297E-8</v>
      </c>
      <c r="AX89" s="23">
        <f t="shared" si="60"/>
        <v>4.1878960805684544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2">
        <f t="shared" si="86"/>
        <v>12.486900926874483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70">
        <f t="shared" si="56"/>
        <v>387.96487744763988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8.3000000000000007</v>
      </c>
      <c r="N90" s="14">
        <f>IF('Données projet'!$A$36&gt;35,N89+M90-V89,IF(A90&lt;'Données projet'!$A$36,$K$205^A90,IF(A90='Données projet'!$A$36,'Données projet'!$B$36,N89+M90-V89)))</f>
        <v>340.09999999999997</v>
      </c>
      <c r="O90" s="14">
        <f>N90*VLOOKUP('Données projet'!$B$9,Paramètres!$A$1:$I$89,3,0)*VLOOKUP('Données projet'!$B$9,Paramètres!$A$1:$I$89,5,0)</f>
        <v>159.16679999999997</v>
      </c>
      <c r="P90" s="14">
        <f t="shared" si="87"/>
        <v>40.654527752930747</v>
      </c>
      <c r="Q90" s="22">
        <f t="shared" si="54"/>
        <v>348.02214583635424</v>
      </c>
      <c r="R90" s="62">
        <f t="shared" si="55"/>
        <v>641.35547916968756</v>
      </c>
      <c r="S90" s="62">
        <f ca="1">AVERAGE(OFFSET($R$3,0,0,'Données projet'!$E$9+1,1))-AVERAGE(OFFSET($H$3,0,0,'Données projet'!$E$9+1,1))</f>
        <v>173.76802753906867</v>
      </c>
      <c r="T90" s="62">
        <f t="shared" si="88"/>
        <v>153.4527010894717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-2.2737367544323206E-13</v>
      </c>
      <c r="AJ90" s="14">
        <f>AI90*VLOOKUP('Données projet'!$B$10,Paramètres!$A$1:$I$89,3,0)*VLOOKUP('Données projet'!$B$10,Paramètres!$A$1:$I$89,5,0)</f>
        <v>-1.2710188457276673E-13</v>
      </c>
      <c r="AK90" s="14" t="e">
        <f t="shared" si="89"/>
        <v>#NUM!</v>
      </c>
      <c r="AL90" s="22" t="e">
        <f t="shared" si="58"/>
        <v>#NUM!</v>
      </c>
      <c r="AM90" s="62" t="e">
        <f t="shared" si="59"/>
        <v>#NUM!</v>
      </c>
      <c r="AN90" s="62">
        <f ca="1">AVERAGE(OFFSET($AM$3,0,0,'Données projet'!$E$10+1,1))-AVERAGE(OFFSET($H$3,0,0,'Données projet'!$E$10+1,1))</f>
        <v>382.55387448074327</v>
      </c>
      <c r="AO90" s="62">
        <f t="shared" si="90"/>
        <v>476.29465646955543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4.1057738951073004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7.0455738989325014E-8</v>
      </c>
      <c r="AX90" s="23">
        <f t="shared" si="60"/>
        <v>4.1057739655630394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2">
        <f t="shared" si="86"/>
        <v>12.613637433293027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70">
        <f t="shared" si="56"/>
        <v>389.02335186298552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8.3000000000000007</v>
      </c>
      <c r="N91" s="14">
        <f>IF('Données projet'!$A$36&gt;35,N90+M91-V90,IF(A91&lt;'Données projet'!$A$36,$K$205^A91,IF(A91='Données projet'!$A$36,'Données projet'!$B$36,N90+M91-V90)))</f>
        <v>348.4</v>
      </c>
      <c r="O91" s="14">
        <f>N91*VLOOKUP('Données projet'!$B$9,Paramètres!$A$1:$I$89,3,0)*VLOOKUP('Données projet'!$B$9,Paramètres!$A$1:$I$89,5,0)</f>
        <v>163.05119999999999</v>
      </c>
      <c r="P91" s="14">
        <f t="shared" si="87"/>
        <v>41.529963627394977</v>
      </c>
      <c r="Q91" s="22">
        <f t="shared" si="54"/>
        <v>356.31219331771285</v>
      </c>
      <c r="R91" s="62">
        <f t="shared" si="55"/>
        <v>649.64552665104611</v>
      </c>
      <c r="S91" s="62">
        <f ca="1">AVERAGE(OFFSET($R$3,0,0,'Données projet'!$E$9+1,1))-AVERAGE(OFFSET($H$3,0,0,'Données projet'!$E$9+1,1))</f>
        <v>173.76802753906867</v>
      </c>
      <c r="T91" s="62">
        <f t="shared" si="88"/>
        <v>153.4527010894717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-2.2737367544323206E-13</v>
      </c>
      <c r="AJ91" s="14">
        <f>AI91*VLOOKUP('Données projet'!$B$10,Paramètres!$A$1:$I$89,3,0)*VLOOKUP('Données projet'!$B$10,Paramètres!$A$1:$I$89,5,0)</f>
        <v>-1.2710188457276673E-13</v>
      </c>
      <c r="AK91" s="14" t="e">
        <f t="shared" si="89"/>
        <v>#NUM!</v>
      </c>
      <c r="AL91" s="22" t="e">
        <f t="shared" si="58"/>
        <v>#NUM!</v>
      </c>
      <c r="AM91" s="62" t="e">
        <f t="shared" si="59"/>
        <v>#NUM!</v>
      </c>
      <c r="AN91" s="62">
        <f ca="1">AVERAGE(OFFSET($AM$3,0,0,'Données projet'!$E$10+1,1))-AVERAGE(OFFSET($H$3,0,0,'Données projet'!$E$10+1,1))</f>
        <v>382.55387448074327</v>
      </c>
      <c r="AO91" s="62">
        <f t="shared" si="90"/>
        <v>476.29465646955543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4.0252621732990459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4.9819730812861149E-8</v>
      </c>
      <c r="AX91" s="23">
        <f t="shared" si="60"/>
        <v>4.0252622231187765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2">
        <f t="shared" si="86"/>
        <v>12.740206408885738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70">
        <f t="shared" si="56"/>
        <v>390.08153449547615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8.3000000000000007</v>
      </c>
      <c r="N92" s="14">
        <f>IF('Données projet'!$A$36&gt;35,N91+M92-V91,IF(A92&lt;'Données projet'!$A$36,$K$205^A92,IF(A92='Données projet'!$A$36,'Données projet'!$B$36,N91+M92-V91)))</f>
        <v>356.7</v>
      </c>
      <c r="O92" s="14">
        <f>N92*VLOOKUP('Données projet'!$B$9,Paramètres!$A$1:$I$89,3,0)*VLOOKUP('Données projet'!$B$9,Paramètres!$A$1:$I$89,5,0)</f>
        <v>166.93559999999997</v>
      </c>
      <c r="P92" s="14">
        <f t="shared" si="87"/>
        <v>42.402975021498193</v>
      </c>
      <c r="Q92" s="22">
        <f t="shared" si="54"/>
        <v>364.59801816244266</v>
      </c>
      <c r="R92" s="62">
        <f t="shared" si="55"/>
        <v>657.93135149577597</v>
      </c>
      <c r="S92" s="62">
        <f ca="1">AVERAGE(OFFSET($R$3,0,0,'Données projet'!$E$9+1,1))-AVERAGE(OFFSET($H$3,0,0,'Données projet'!$E$9+1,1))</f>
        <v>173.76802753906867</v>
      </c>
      <c r="T92" s="62">
        <f t="shared" si="88"/>
        <v>153.4527010894717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-2.2737367544323206E-13</v>
      </c>
      <c r="AJ92" s="14">
        <f>AI92*VLOOKUP('Données projet'!$B$10,Paramètres!$A$1:$I$89,3,0)*VLOOKUP('Données projet'!$B$10,Paramètres!$A$1:$I$89,5,0)</f>
        <v>-1.2710188457276673E-13</v>
      </c>
      <c r="AK92" s="14" t="e">
        <f t="shared" si="89"/>
        <v>#NUM!</v>
      </c>
      <c r="AL92" s="22" t="e">
        <f t="shared" si="58"/>
        <v>#NUM!</v>
      </c>
      <c r="AM92" s="62" t="e">
        <f t="shared" si="59"/>
        <v>#NUM!</v>
      </c>
      <c r="AN92" s="62">
        <f ca="1">AVERAGE(OFFSET($AM$3,0,0,'Données projet'!$E$10+1,1))-AVERAGE(OFFSET($H$3,0,0,'Données projet'!$E$10+1,1))</f>
        <v>382.55387448074327</v>
      </c>
      <c r="AO92" s="62">
        <f t="shared" si="90"/>
        <v>476.29465646955543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3.9463292372481495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3.5227869494662507E-8</v>
      </c>
      <c r="AX92" s="23">
        <f t="shared" si="60"/>
        <v>3.9463292724760191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2">
        <f t="shared" si="86"/>
        <v>12.866609953844367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70">
        <f t="shared" si="56"/>
        <v>391.13942900294575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365</v>
      </c>
      <c r="L93" s="13">
        <f>VLOOKUP(A93,'Données projet'!$A$35:$I$55,9,0)</f>
        <v>8.3000000000000007</v>
      </c>
      <c r="M93" s="13">
        <f t="array" ref="M93">INDEX(L:L,MIN(IF(ISNUMBER(L93:L289),ROW(L93:L289),"")))</f>
        <v>8.3000000000000007</v>
      </c>
      <c r="N93" s="14">
        <f>IF('Données projet'!$A$36&gt;35,N92+M93-V92,IF(A93&lt;'Données projet'!$A$36,$K$205^A93,IF(A93='Données projet'!$A$36,'Données projet'!$B$36,N92+M93-V92)))</f>
        <v>365</v>
      </c>
      <c r="O93" s="14">
        <f>N93*VLOOKUP('Données projet'!$B$9,Paramètres!$A$1:$I$89,3,0)*VLOOKUP('Données projet'!$B$9,Paramètres!$A$1:$I$89,5,0)</f>
        <v>170.82000000000002</v>
      </c>
      <c r="P93" s="14">
        <f t="shared" si="87"/>
        <v>43.273624843069463</v>
      </c>
      <c r="Q93" s="22">
        <f t="shared" si="54"/>
        <v>372.87972993501268</v>
      </c>
      <c r="R93" s="62">
        <f t="shared" si="55"/>
        <v>666.21306326834599</v>
      </c>
      <c r="S93" s="62">
        <f ca="1">AVERAGE(OFFSET($R$3,0,0,'Données projet'!$E$9+1,1))-AVERAGE(OFFSET($H$3,0,0,'Données projet'!$E$9+1,1))</f>
        <v>173.76802753906867</v>
      </c>
      <c r="T93" s="62">
        <f t="shared" si="88"/>
        <v>153.4527010894717</v>
      </c>
      <c r="U93" s="16">
        <f>IF(ISNA(VLOOKUP(A93,'Données projet'!$A$35:$I$55,3,0)),0,VLOOKUP(A93,'Données projet'!$A$35:$I$55,3,0))</f>
        <v>8</v>
      </c>
      <c r="V93" s="16">
        <f>IF(ISNA(VLOOKUP(A93,'Données projet'!$A$35:$I$55,4,0)),0,VLOOKUP(A93,'Données projet'!$A$35:$I$55,4,0))</f>
        <v>73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-2.2737367544323206E-13</v>
      </c>
      <c r="AJ93" s="14">
        <f>AI93*VLOOKUP('Données projet'!$B$10,Paramètres!$A$1:$I$89,3,0)*VLOOKUP('Données projet'!$B$10,Paramètres!$A$1:$I$89,5,0)</f>
        <v>-1.2710188457276673E-13</v>
      </c>
      <c r="AK93" s="14" t="e">
        <f t="shared" si="89"/>
        <v>#NUM!</v>
      </c>
      <c r="AL93" s="22" t="e">
        <f t="shared" si="58"/>
        <v>#NUM!</v>
      </c>
      <c r="AM93" s="62" t="e">
        <f t="shared" si="59"/>
        <v>#NUM!</v>
      </c>
      <c r="AN93" s="62">
        <f ca="1">AVERAGE(OFFSET($AM$3,0,0,'Données projet'!$E$10+1,1))-AVERAGE(OFFSET($H$3,0,0,'Données projet'!$E$10+1,1))</f>
        <v>382.55387448074327</v>
      </c>
      <c r="AO93" s="62">
        <f t="shared" si="90"/>
        <v>476.29465646955543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3.8689441279288741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2.4909865406430574E-8</v>
      </c>
      <c r="AX93" s="23">
        <f t="shared" si="60"/>
        <v>3.8689441528387394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2">
        <f t="shared" si="86"/>
        <v>12.992850119002412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70">
        <f t="shared" si="56"/>
        <v>392.19703895726269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8.3000000000000007</v>
      </c>
      <c r="N94" s="14">
        <f>IF('Données projet'!$A$36&gt;35,N93+M94-V93,IF(A94&lt;'Données projet'!$A$36,$K$205^A94,IF(A94='Données projet'!$A$36,'Données projet'!$B$36,N93+M94-V93)))</f>
        <v>300.3</v>
      </c>
      <c r="O94" s="14">
        <f>N94*VLOOKUP('Données projet'!$B$9,Paramètres!$A$1:$I$89,3,0)*VLOOKUP('Données projet'!$B$9,Paramètres!$A$1:$I$89,5,0)</f>
        <v>140.54040000000001</v>
      </c>
      <c r="P94" s="14">
        <f t="shared" si="87"/>
        <v>36.420775774849901</v>
      </c>
      <c r="Q94" s="22">
        <f t="shared" si="54"/>
        <v>308.20738114119689</v>
      </c>
      <c r="R94" s="62">
        <f t="shared" si="55"/>
        <v>601.5407144745302</v>
      </c>
      <c r="S94" s="62">
        <f ca="1">AVERAGE(OFFSET($R$3,0,0,'Données projet'!$E$9+1,1))-AVERAGE(OFFSET($H$3,0,0,'Données projet'!$E$9+1,1))</f>
        <v>173.76802753906867</v>
      </c>
      <c r="T94" s="62">
        <f t="shared" si="88"/>
        <v>153.4527010894717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-2.2737367544323206E-13</v>
      </c>
      <c r="AJ94" s="14">
        <f>AI94*VLOOKUP('Données projet'!$B$10,Paramètres!$A$1:$I$89,3,0)*VLOOKUP('Données projet'!$B$10,Paramètres!$A$1:$I$89,5,0)</f>
        <v>-1.2710188457276673E-13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382.55387448074327</v>
      </c>
      <c r="AO94" s="62">
        <f t="shared" si="90"/>
        <v>476.29465646955543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3.7930764934030936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1.7613934747331254E-8</v>
      </c>
      <c r="AX94" s="23">
        <f t="shared" si="60"/>
        <v>3.7930765110170284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2">
        <f t="shared" si="86"/>
        <v>13.118928907524481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70">
        <f t="shared" si="56"/>
        <v>393.25436784727196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8.3000000000000007</v>
      </c>
      <c r="N95" s="14">
        <f>IF('Données projet'!$A$36&gt;35,N94+M95-V94,IF(A95&lt;'Données projet'!$A$36,$K$205^A95,IF(A95='Données projet'!$A$36,'Données projet'!$B$36,N94+M95-V94)))</f>
        <v>308.60000000000002</v>
      </c>
      <c r="O95" s="14">
        <f>N95*VLOOKUP('Données projet'!$B$9,Paramètres!$A$1:$I$89,3,0)*VLOOKUP('Données projet'!$B$9,Paramètres!$A$1:$I$89,5,0)</f>
        <v>144.4248</v>
      </c>
      <c r="P95" s="14">
        <f t="shared" si="87"/>
        <v>37.308822031923654</v>
      </c>
      <c r="Q95" s="22">
        <f t="shared" si="54"/>
        <v>316.51939170560036</v>
      </c>
      <c r="R95" s="62">
        <f t="shared" si="55"/>
        <v>609.85272503893361</v>
      </c>
      <c r="S95" s="62">
        <f ca="1">AVERAGE(OFFSET($R$3,0,0,'Données projet'!$E$9+1,1))-AVERAGE(OFFSET($H$3,0,0,'Données projet'!$E$9+1,1))</f>
        <v>173.76802753906867</v>
      </c>
      <c r="T95" s="62">
        <f t="shared" si="88"/>
        <v>153.4527010894717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-2.2737367544323206E-13</v>
      </c>
      <c r="AJ95" s="14">
        <f>AI95*VLOOKUP('Données projet'!$B$10,Paramètres!$A$1:$I$89,3,0)*VLOOKUP('Données projet'!$B$10,Paramètres!$A$1:$I$89,5,0)</f>
        <v>-1.2710188457276673E-13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382.55387448074327</v>
      </c>
      <c r="AO95" s="62">
        <f t="shared" si="90"/>
        <v>476.29465646955543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3.7186965769156761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1.2454932703215287E-8</v>
      </c>
      <c r="AX95" s="23">
        <f t="shared" si="60"/>
        <v>3.7186965893706088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2">
        <f t="shared" si="86"/>
        <v>13.244848276520115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70">
        <f t="shared" si="56"/>
        <v>394.311419081606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8.3000000000000007</v>
      </c>
      <c r="N96" s="14">
        <f>IF('Données projet'!$A$36&gt;35,N95+M96-V95,IF(A96&lt;'Données projet'!$A$36,$K$205^A96,IF(A96='Données projet'!$A$36,'Données projet'!$B$36,N95+M96-V95)))</f>
        <v>316.90000000000003</v>
      </c>
      <c r="O96" s="14">
        <f>N96*VLOOKUP('Données projet'!$B$9,Paramètres!$A$1:$I$89,3,0)*VLOOKUP('Données projet'!$B$9,Paramètres!$A$1:$I$89,5,0)</f>
        <v>148.3092</v>
      </c>
      <c r="P96" s="14">
        <f t="shared" si="87"/>
        <v>38.194092116566551</v>
      </c>
      <c r="Q96" s="22">
        <f t="shared" si="54"/>
        <v>324.82656710302007</v>
      </c>
      <c r="R96" s="62">
        <f t="shared" si="55"/>
        <v>618.15990043635338</v>
      </c>
      <c r="S96" s="62">
        <f ca="1">AVERAGE(OFFSET($R$3,0,0,'Données projet'!$E$9+1,1))-AVERAGE(OFFSET($H$3,0,0,'Données projet'!$E$9+1,1))</f>
        <v>173.76802753906867</v>
      </c>
      <c r="T96" s="62">
        <f t="shared" si="88"/>
        <v>153.4527010894717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-2.2737367544323206E-13</v>
      </c>
      <c r="AJ96" s="14">
        <f>AI96*VLOOKUP('Données projet'!$B$10,Paramètres!$A$1:$I$89,3,0)*VLOOKUP('Données projet'!$B$10,Paramètres!$A$1:$I$89,5,0)</f>
        <v>-1.2710188457276673E-13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382.55387448074327</v>
      </c>
      <c r="AO96" s="62">
        <f t="shared" si="90"/>
        <v>476.29465646955543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3.6457752052233072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8.8069673736656268E-9</v>
      </c>
      <c r="AX96" s="23">
        <f t="shared" si="60"/>
        <v>3.6457752140302744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2">
        <f t="shared" si="86"/>
        <v>13.37061013858626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70">
        <f t="shared" si="56"/>
        <v>395.36819599137124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8.3000000000000007</v>
      </c>
      <c r="N97" s="14">
        <f>IF('Données projet'!$A$36&gt;35,N96+M97-V96,IF(A97&lt;'Données projet'!$A$36,$K$205^A97,IF(A97='Données projet'!$A$36,'Données projet'!$B$36,N96+M97-V96)))</f>
        <v>325.20000000000005</v>
      </c>
      <c r="O97" s="14">
        <f>N97*VLOOKUP('Données projet'!$B$9,Paramètres!$A$1:$I$89,3,0)*VLOOKUP('Données projet'!$B$9,Paramètres!$A$1:$I$89,5,0)</f>
        <v>152.19360000000003</v>
      </c>
      <c r="P97" s="14">
        <f t="shared" si="87"/>
        <v>39.076667098894909</v>
      </c>
      <c r="Q97" s="22">
        <f t="shared" si="54"/>
        <v>333.1290485305754</v>
      </c>
      <c r="R97" s="62">
        <f t="shared" si="55"/>
        <v>626.46238186390872</v>
      </c>
      <c r="S97" s="62">
        <f ca="1">AVERAGE(OFFSET($R$3,0,0,'Données projet'!$E$9+1,1))-AVERAGE(OFFSET($H$3,0,0,'Données projet'!$E$9+1,1))</f>
        <v>173.76802753906867</v>
      </c>
      <c r="T97" s="62">
        <f t="shared" si="88"/>
        <v>153.4527010894717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-2.2737367544323206E-13</v>
      </c>
      <c r="AJ97" s="14">
        <f>AI97*VLOOKUP('Données projet'!$B$10,Paramètres!$A$1:$I$89,3,0)*VLOOKUP('Données projet'!$B$10,Paramètres!$A$1:$I$89,5,0)</f>
        <v>-1.2710188457276673E-13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382.55387448074327</v>
      </c>
      <c r="AO97" s="62">
        <f t="shared" si="90"/>
        <v>476.29465646955543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3.5742837771521807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6.2274663516076436E-9</v>
      </c>
      <c r="AX97" s="23">
        <f t="shared" si="60"/>
        <v>3.5742837833796473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2">
        <f t="shared" si="86"/>
        <v>13.49621636328218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70">
        <f t="shared" si="56"/>
        <v>396.42470183271661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8.3000000000000007</v>
      </c>
      <c r="N98" s="14">
        <f>IF('Données projet'!$A$36&gt;35,N97+M98-V97,IF(A98&lt;'Données projet'!$A$36,$K$205^A98,IF(A98='Données projet'!$A$36,'Données projet'!$B$36,N97+M98-V97)))</f>
        <v>333.50000000000006</v>
      </c>
      <c r="O98" s="14">
        <f>N98*VLOOKUP('Données projet'!$B$9,Paramètres!$A$1:$I$89,3,0)*VLOOKUP('Données projet'!$B$9,Paramètres!$A$1:$I$89,5,0)</f>
        <v>156.07800000000003</v>
      </c>
      <c r="P98" s="14">
        <f t="shared" si="87"/>
        <v>39.956623674978466</v>
      </c>
      <c r="Q98" s="22">
        <f t="shared" si="54"/>
        <v>341.42696956725422</v>
      </c>
      <c r="R98" s="62">
        <f t="shared" si="55"/>
        <v>634.76030290058748</v>
      </c>
      <c r="S98" s="62">
        <f ca="1">AVERAGE(OFFSET($R$3,0,0,'Données projet'!$E$9+1,1))-AVERAGE(OFFSET($H$3,0,0,'Données projet'!$E$9+1,1))</f>
        <v>173.76802753906867</v>
      </c>
      <c r="T98" s="62">
        <f t="shared" si="88"/>
        <v>153.4527010894717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-2.2737367544323206E-13</v>
      </c>
      <c r="AJ98" s="14">
        <f>AI98*VLOOKUP('Données projet'!$B$10,Paramètres!$A$1:$I$89,3,0)*VLOOKUP('Données projet'!$B$10,Paramètres!$A$1:$I$89,5,0)</f>
        <v>-1.2710188457276673E-13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382.55387448074327</v>
      </c>
      <c r="AO98" s="62">
        <f t="shared" si="90"/>
        <v>476.29465646955543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3.5041942523800635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4.4034836868328134E-9</v>
      </c>
      <c r="AX98" s="23">
        <f t="shared" si="60"/>
        <v>3.5041942567835473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2">
        <f t="shared" si="86"/>
        <v>13.621668778540512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70">
        <f t="shared" si="56"/>
        <v>397.48093978929154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8.3000000000000007</v>
      </c>
      <c r="N99" s="14">
        <f>IF('Données projet'!$A$36&gt;35,N98+M99-V98,IF(A99&lt;'Données projet'!$A$36,$K$205^A99,IF(A99='Données projet'!$A$36,'Données projet'!$B$36,N98+M99-V98)))</f>
        <v>341.80000000000007</v>
      </c>
      <c r="O99" s="14">
        <f>N99*VLOOKUP('Données projet'!$B$9,Paramètres!$A$1:$I$89,3,0)*VLOOKUP('Données projet'!$B$9,Paramètres!$A$1:$I$89,5,0)</f>
        <v>159.96240000000003</v>
      </c>
      <c r="P99" s="14">
        <f t="shared" si="87"/>
        <v>40.834034505739851</v>
      </c>
      <c r="Q99" s="22">
        <f t="shared" ref="Q99:Q130" si="107">(O99+P99)*0.475*44/12</f>
        <v>349.7204567641636</v>
      </c>
      <c r="R99" s="62">
        <f t="shared" si="55"/>
        <v>643.05379009749686</v>
      </c>
      <c r="S99" s="62">
        <f ca="1">AVERAGE(OFFSET($R$3,0,0,'Données projet'!$E$9+1,1))-AVERAGE(OFFSET($H$3,0,0,'Données projet'!$E$9+1,1))</f>
        <v>173.76802753906867</v>
      </c>
      <c r="T99" s="62">
        <f t="shared" si="88"/>
        <v>153.4527010894717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-2.2737367544323206E-13</v>
      </c>
      <c r="AJ99" s="14">
        <f>AI99*VLOOKUP('Données projet'!$B$10,Paramètres!$A$1:$I$89,3,0)*VLOOKUP('Données projet'!$B$10,Paramètres!$A$1:$I$89,5,0)</f>
        <v>-1.2710188457276673E-13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382.55387448074327</v>
      </c>
      <c r="AO99" s="62">
        <f t="shared" si="90"/>
        <v>476.29465646955543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3.4354791404383391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3.1137331758038218E-9</v>
      </c>
      <c r="AX99" s="23">
        <f t="shared" si="60"/>
        <v>3.4354791435520724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2">
        <f t="shared" si="86"/>
        <v>13.746969172017856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70">
        <f t="shared" si="56"/>
        <v>398.5369129745979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8.3000000000000007</v>
      </c>
      <c r="N100" s="14">
        <f>IF('Données projet'!$A$36&gt;35,N99+M100-V99,IF(A100&lt;'Données projet'!$A$36,$K$205^A100,IF(A100='Données projet'!$A$36,'Données projet'!$B$36,N99+M100-V99)))</f>
        <v>350.10000000000008</v>
      </c>
      <c r="O100" s="14">
        <f>N100*VLOOKUP('Données projet'!$B$9,Paramètres!$A$1:$I$89,3,0)*VLOOKUP('Données projet'!$B$9,Paramètres!$A$1:$I$89,5,0)</f>
        <v>163.84680000000003</v>
      </c>
      <c r="P100" s="14">
        <f t="shared" si="87"/>
        <v>41.708968522008732</v>
      </c>
      <c r="Q100" s="22">
        <f t="shared" si="107"/>
        <v>358.00963017583189</v>
      </c>
      <c r="R100" s="62">
        <f t="shared" si="55"/>
        <v>651.3429635091652</v>
      </c>
      <c r="S100" s="62">
        <f ca="1">AVERAGE(OFFSET($R$3,0,0,'Données projet'!$E$9+1,1))-AVERAGE(OFFSET($H$3,0,0,'Données projet'!$E$9+1,1))</f>
        <v>173.76802753906867</v>
      </c>
      <c r="T100" s="62">
        <f t="shared" si="88"/>
        <v>153.4527010894717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-2.2737367544323206E-13</v>
      </c>
      <c r="AJ100" s="14">
        <f>AI100*VLOOKUP('Données projet'!$B$10,Paramètres!$A$1:$I$89,3,0)*VLOOKUP('Données projet'!$B$10,Paramètres!$A$1:$I$89,5,0)</f>
        <v>-1.2710188457276673E-13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382.55387448074327</v>
      </c>
      <c r="AO100" s="62">
        <f t="shared" si="90"/>
        <v>476.29465646955543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3.3681114899297118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2.2017418434164067E-9</v>
      </c>
      <c r="AX100" s="23">
        <f t="shared" si="60"/>
        <v>3.3681114921314537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2">
        <f t="shared" si="86"/>
        <v>13.87211929238806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70">
        <f t="shared" si="56"/>
        <v>399.59262443424268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8.3000000000000007</v>
      </c>
      <c r="N101" s="14">
        <f>IF('Données projet'!$A$36&gt;35,N100+M101-V100,IF(A101&lt;'Données projet'!$A$36,$K$205^A101,IF(A101='Données projet'!$A$36,'Données projet'!$B$36,N100+M101-V100)))</f>
        <v>358.40000000000009</v>
      </c>
      <c r="O101" s="14">
        <f>N101*VLOOKUP('Données projet'!$B$9,Paramètres!$A$1:$I$89,3,0)*VLOOKUP('Données projet'!$B$9,Paramètres!$A$1:$I$89,5,0)</f>
        <v>167.73120000000006</v>
      </c>
      <c r="P101" s="14">
        <f t="shared" si="87"/>
        <v>42.581491199832655</v>
      </c>
      <c r="Q101" s="22">
        <f t="shared" si="107"/>
        <v>366.29460383970871</v>
      </c>
      <c r="R101" s="62">
        <f t="shared" si="55"/>
        <v>659.62793717304203</v>
      </c>
      <c r="S101" s="62">
        <f ca="1">AVERAGE(OFFSET($R$3,0,0,'Données projet'!$E$9+1,1))-AVERAGE(OFFSET($H$3,0,0,'Données projet'!$E$9+1,1))</f>
        <v>173.76802753906867</v>
      </c>
      <c r="T101" s="62">
        <f t="shared" si="88"/>
        <v>153.4527010894717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-2.2737367544323206E-13</v>
      </c>
      <c r="AJ101" s="14">
        <f>AI101*VLOOKUP('Données projet'!$B$10,Paramètres!$A$1:$I$89,3,0)*VLOOKUP('Données projet'!$B$10,Paramètres!$A$1:$I$89,5,0)</f>
        <v>-1.2710188457276673E-13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382.55387448074327</v>
      </c>
      <c r="AO101" s="62">
        <f t="shared" si="90"/>
        <v>476.29465646955543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3.3020648779573492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1.5568665879019109E-9</v>
      </c>
      <c r="AX101" s="23">
        <f t="shared" si="60"/>
        <v>3.3020648795142158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2">
        <f t="shared" si="86"/>
        <v>13.997120850581238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70">
        <f t="shared" si="56"/>
        <v>400.64807714809581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8.3000000000000007</v>
      </c>
      <c r="N102" s="14">
        <f>IF('Données projet'!$A$36&gt;35,N101+M102-V101,IF(A102&lt;'Données projet'!$A$36,$K$205^A102,IF(A102='Données projet'!$A$36,'Données projet'!$B$36,N101+M102-V101)))</f>
        <v>366.7000000000001</v>
      </c>
      <c r="O102" s="14">
        <f>N102*VLOOKUP('Données projet'!$B$9,Paramètres!$A$1:$I$89,3,0)*VLOOKUP('Données projet'!$B$9,Paramètres!$A$1:$I$89,5,0)</f>
        <v>171.61560000000006</v>
      </c>
      <c r="P102" s="14">
        <f t="shared" si="87"/>
        <v>43.45166480956653</v>
      </c>
      <c r="Q102" s="22">
        <f t="shared" si="107"/>
        <v>374.57548620999506</v>
      </c>
      <c r="R102" s="62">
        <f t="shared" si="55"/>
        <v>667.90881954332838</v>
      </c>
      <c r="S102" s="62">
        <f ca="1">AVERAGE(OFFSET($R$3,0,0,'Données projet'!$E$9+1,1))-AVERAGE(OFFSET($H$3,0,0,'Données projet'!$E$9+1,1))</f>
        <v>173.76802753906867</v>
      </c>
      <c r="T102" s="62">
        <f t="shared" si="88"/>
        <v>153.4527010894717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-2.2737367544323206E-13</v>
      </c>
      <c r="AJ102" s="14">
        <f>AI102*VLOOKUP('Données projet'!$B$10,Paramètres!$A$1:$I$89,3,0)*VLOOKUP('Données projet'!$B$10,Paramètres!$A$1:$I$89,5,0)</f>
        <v>-1.2710188457276673E-13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382.55387448074327</v>
      </c>
      <c r="AO102" s="62">
        <f t="shared" si="90"/>
        <v>476.29465646955543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3.2373133997613093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1.1008709217082034E-9</v>
      </c>
      <c r="AX102" s="23">
        <f t="shared" si="60"/>
        <v>3.2373134008621802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2">
        <f t="shared" si="86"/>
        <v>14.121975520971258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70">
        <f t="shared" si="56"/>
        <v>401.70327403235842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375</v>
      </c>
      <c r="L103" s="13">
        <f>VLOOKUP(A103,'Données projet'!$A$35:$I$55,9,0)</f>
        <v>8.3000000000000007</v>
      </c>
      <c r="M103" s="13">
        <f t="array" ref="M103">INDEX(L:L,MIN(IF(ISNUMBER(L103:L299),ROW(L103:L299),"")))</f>
        <v>8.3000000000000007</v>
      </c>
      <c r="N103" s="14">
        <f>IF('Données projet'!$A$36&gt;35,N102+M103-V102,IF(A103&lt;'Données projet'!$A$36,$K$205^A103,IF(A103='Données projet'!$A$36,'Données projet'!$B$36,N102+M103-V102)))</f>
        <v>375.00000000000011</v>
      </c>
      <c r="O103" s="14">
        <f>N103*VLOOKUP('Données projet'!$B$9,Paramètres!$A$1:$I$89,3,0)*VLOOKUP('Données projet'!$B$9,Paramètres!$A$1:$I$89,5,0)</f>
        <v>175.50000000000006</v>
      </c>
      <c r="P103" s="14">
        <f t="shared" si="87"/>
        <v>44.319548641773906</v>
      </c>
      <c r="Q103" s="22">
        <f t="shared" si="107"/>
        <v>382.85238055108965</v>
      </c>
      <c r="R103" s="62">
        <f t="shared" si="55"/>
        <v>676.18571388442297</v>
      </c>
      <c r="S103" s="62">
        <f ca="1">AVERAGE(OFFSET($R$3,0,0,'Données projet'!$E$9+1,1))-AVERAGE(OFFSET($H$3,0,0,'Données projet'!$E$9+1,1))</f>
        <v>173.76802753906867</v>
      </c>
      <c r="T103" s="62">
        <f t="shared" si="88"/>
        <v>153.4527010894717</v>
      </c>
      <c r="U103" s="16">
        <f>IF(ISNA(VLOOKUP(A103,'Données projet'!$A$35:$I$55,3,0)),0,VLOOKUP(A103,'Données projet'!$A$35:$I$55,3,0))</f>
        <v>9</v>
      </c>
      <c r="V103" s="16">
        <f>IF(ISNA(VLOOKUP(A103,'Données projet'!$A$35:$I$55,4,0)),0,VLOOKUP(A103,'Données projet'!$A$35:$I$55,4,0))</f>
        <v>375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-2.2737367544323206E-13</v>
      </c>
      <c r="AJ103" s="14">
        <f>AI103*VLOOKUP('Données projet'!$B$10,Paramètres!$A$1:$I$89,3,0)*VLOOKUP('Données projet'!$B$10,Paramètres!$A$1:$I$89,5,0)</f>
        <v>-1.2710188457276673E-13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382.55387448074327</v>
      </c>
      <c r="AO103" s="62">
        <f t="shared" si="90"/>
        <v>476.29465646955543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3.1738316585581918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7.7843329395095545E-10</v>
      </c>
      <c r="AX103" s="23">
        <f t="shared" si="60"/>
        <v>3.1738316593366251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2">
        <f t="shared" si="86"/>
        <v>14.246684942514399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70">
        <f t="shared" si="56"/>
        <v>402.75821794154609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5.3205440053716299E-14</v>
      </c>
      <c r="P104" s="14">
        <f t="shared" si="87"/>
        <v>8.602146238565607E-13</v>
      </c>
      <c r="Q104" s="22">
        <f t="shared" si="107"/>
        <v>1.590873277977066E-12</v>
      </c>
      <c r="R104" s="62">
        <f t="shared" si="55"/>
        <v>293.33333333333491</v>
      </c>
      <c r="S104" s="62">
        <f ca="1">AVERAGE(OFFSET($R$3,0,0,'Données projet'!$E$9+1,1))-AVERAGE(OFFSET($H$3,0,0,'Données projet'!$E$9+1,1))</f>
        <v>173.76802753906867</v>
      </c>
      <c r="T104" s="62">
        <f t="shared" si="88"/>
        <v>153.4527010894717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-2.2737367544323206E-13</v>
      </c>
      <c r="AJ104" s="14">
        <f>AI104*VLOOKUP('Données projet'!$B$10,Paramètres!$A$1:$I$89,3,0)*VLOOKUP('Données projet'!$B$10,Paramètres!$A$1:$I$89,5,0)</f>
        <v>-1.2710188457276673E-13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382.55387448074327</v>
      </c>
      <c r="AO104" s="62">
        <f t="shared" si="90"/>
        <v>476.29465646955543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3.1115947555800285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5.5043546085410168E-10</v>
      </c>
      <c r="AX104" s="23">
        <f t="shared" si="60"/>
        <v>3.1115947561304638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2">
        <f t="shared" si="86"/>
        <v>14.371250719841637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70">
        <f t="shared" si="56"/>
        <v>403.81291167039103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5.3205440053716299E-14</v>
      </c>
      <c r="P105" s="14">
        <f t="shared" si="87"/>
        <v>8.602146238565607E-13</v>
      </c>
      <c r="Q105" s="22">
        <f t="shared" si="107"/>
        <v>1.590873277977066E-12</v>
      </c>
      <c r="R105" s="62">
        <f t="shared" si="55"/>
        <v>293.33333333333491</v>
      </c>
      <c r="S105" s="62">
        <f ca="1">AVERAGE(OFFSET($R$3,0,0,'Données projet'!$E$9+1,1))-AVERAGE(OFFSET($H$3,0,0,'Données projet'!$E$9+1,1))</f>
        <v>173.76802753906867</v>
      </c>
      <c r="T105" s="62">
        <f t="shared" si="88"/>
        <v>153.4527010894717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-2.2737367544323206E-13</v>
      </c>
      <c r="AJ105" s="14">
        <f>AI105*VLOOKUP('Données projet'!$B$10,Paramètres!$A$1:$I$89,3,0)*VLOOKUP('Données projet'!$B$10,Paramètres!$A$1:$I$89,5,0)</f>
        <v>-1.2710188457276673E-13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382.55387448074327</v>
      </c>
      <c r="AO105" s="62">
        <f t="shared" si="90"/>
        <v>476.29465646955543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3.0505782803085046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3.8921664697547772E-10</v>
      </c>
      <c r="AX105" s="23">
        <f t="shared" si="60"/>
        <v>3.0505782806977213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2">
        <f t="shared" si="86"/>
        <v>14.495674424306822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70">
        <f t="shared" si="56"/>
        <v>404.8673579556679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5.3205440053716299E-14</v>
      </c>
      <c r="P106" s="14">
        <f t="shared" si="87"/>
        <v>8.602146238565607E-13</v>
      </c>
      <c r="Q106" s="22">
        <f t="shared" si="107"/>
        <v>1.590873277977066E-12</v>
      </c>
      <c r="R106" s="62">
        <f t="shared" si="55"/>
        <v>293.33333333333491</v>
      </c>
      <c r="S106" s="62">
        <f ca="1">AVERAGE(OFFSET($R$3,0,0,'Données projet'!$E$9+1,1))-AVERAGE(OFFSET($H$3,0,0,'Données projet'!$E$9+1,1))</f>
        <v>173.76802753906867</v>
      </c>
      <c r="T106" s="62">
        <f t="shared" si="88"/>
        <v>153.4527010894717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-2.2737367544323206E-13</v>
      </c>
      <c r="AJ106" s="14">
        <f>AI106*VLOOKUP('Données projet'!$B$10,Paramètres!$A$1:$I$89,3,0)*VLOOKUP('Données projet'!$B$10,Paramètres!$A$1:$I$89,5,0)</f>
        <v>-1.2710188457276673E-13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382.55387448074327</v>
      </c>
      <c r="AO106" s="62">
        <f t="shared" si="90"/>
        <v>476.29465646955543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2.99075830090068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2.7521773042705084E-10</v>
      </c>
      <c r="AX106" s="23">
        <f t="shared" si="60"/>
        <v>2.9907583011758976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2">
        <f t="shared" si="86"/>
        <v>14.619957594993028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70">
        <f t="shared" si="56"/>
        <v>405.92155947794635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5.3205440053716299E-14</v>
      </c>
      <c r="P107" s="14">
        <f t="shared" si="87"/>
        <v>8.602146238565607E-13</v>
      </c>
      <c r="Q107" s="22">
        <f t="shared" si="107"/>
        <v>1.590873277977066E-12</v>
      </c>
      <c r="R107" s="62">
        <f t="shared" si="55"/>
        <v>293.33333333333491</v>
      </c>
      <c r="S107" s="62">
        <f ca="1">AVERAGE(OFFSET($R$3,0,0,'Données projet'!$E$9+1,1))-AVERAGE(OFFSET($H$3,0,0,'Données projet'!$E$9+1,1))</f>
        <v>173.76802753906867</v>
      </c>
      <c r="T107" s="62">
        <f t="shared" si="88"/>
        <v>153.4527010894717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-2.2737367544323206E-13</v>
      </c>
      <c r="AJ107" s="14">
        <f>AI107*VLOOKUP('Données projet'!$B$10,Paramètres!$A$1:$I$89,3,0)*VLOOKUP('Données projet'!$B$10,Paramètres!$A$1:$I$89,5,0)</f>
        <v>-1.2710188457276673E-13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382.55387448074327</v>
      </c>
      <c r="AO107" s="62">
        <f t="shared" si="90"/>
        <v>476.29465646955543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2.932111354802458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1.9460832348773886E-10</v>
      </c>
      <c r="AX107" s="23">
        <f t="shared" si="60"/>
        <v>2.9321113549970663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2">
        <f t="shared" si="86"/>
        <v>14.744101739679099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70">
        <f t="shared" si="56"/>
        <v>406.9755188632746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5.3205440053716299E-14</v>
      </c>
      <c r="P108" s="14">
        <f t="shared" si="87"/>
        <v>8.602146238565607E-13</v>
      </c>
      <c r="Q108" s="22">
        <f t="shared" si="107"/>
        <v>1.590873277977066E-12</v>
      </c>
      <c r="R108" s="62">
        <f t="shared" si="55"/>
        <v>293.33333333333491</v>
      </c>
      <c r="S108" s="62">
        <f ca="1">AVERAGE(OFFSET($R$3,0,0,'Données projet'!$E$9+1,1))-AVERAGE(OFFSET($H$3,0,0,'Données projet'!$E$9+1,1))</f>
        <v>173.76802753906867</v>
      </c>
      <c r="T108" s="62">
        <f t="shared" si="88"/>
        <v>153.4527010894717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-2.2737367544323206E-13</v>
      </c>
      <c r="AJ108" s="14">
        <f>AI108*VLOOKUP('Données projet'!$B$10,Paramètres!$A$1:$I$89,3,0)*VLOOKUP('Données projet'!$B$10,Paramètres!$A$1:$I$89,5,0)</f>
        <v>-1.2710188457276673E-13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382.55387448074327</v>
      </c>
      <c r="AO108" s="62">
        <f t="shared" si="90"/>
        <v>476.29465646955543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2.8746144395461171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1.3760886521352542E-10</v>
      </c>
      <c r="AX108" s="23">
        <f t="shared" si="60"/>
        <v>2.8746144396837261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2">
        <f t="shared" si="86"/>
        <v>14.868108335768225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70">
        <f t="shared" si="56"/>
        <v>408.0292386847965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5.3205440053716299E-14</v>
      </c>
      <c r="P109" s="14">
        <f t="shared" si="87"/>
        <v>8.602146238565607E-13</v>
      </c>
      <c r="Q109" s="22">
        <f t="shared" si="107"/>
        <v>1.590873277977066E-12</v>
      </c>
      <c r="R109" s="62">
        <f t="shared" si="55"/>
        <v>293.33333333333491</v>
      </c>
      <c r="S109" s="62">
        <f ca="1">AVERAGE(OFFSET($R$3,0,0,'Données projet'!$E$9+1,1))-AVERAGE(OFFSET($H$3,0,0,'Données projet'!$E$9+1,1))</f>
        <v>173.76802753906867</v>
      </c>
      <c r="T109" s="62">
        <f t="shared" si="88"/>
        <v>153.4527010894717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-2.2737367544323206E-13</v>
      </c>
      <c r="AJ109" s="14">
        <f>AI109*VLOOKUP('Données projet'!$B$10,Paramètres!$A$1:$I$89,3,0)*VLOOKUP('Données projet'!$B$10,Paramètres!$A$1:$I$89,5,0)</f>
        <v>-1.2710188457276673E-13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382.55387448074327</v>
      </c>
      <c r="AO109" s="62">
        <f t="shared" si="90"/>
        <v>476.29465646955543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2.8182450037282978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9.7304161743869431E-11</v>
      </c>
      <c r="AX109" s="23">
        <f t="shared" si="60"/>
        <v>2.8182450038256017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2">
        <f t="shared" si="86"/>
        <v>14.991978831180672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70">
        <f t="shared" si="56"/>
        <v>409.08272146430653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5.3205440053716299E-14</v>
      </c>
      <c r="P110" s="14">
        <f t="shared" si="87"/>
        <v>8.602146238565607E-13</v>
      </c>
      <c r="Q110" s="22">
        <f t="shared" si="107"/>
        <v>1.590873277977066E-12</v>
      </c>
      <c r="R110" s="62">
        <f t="shared" si="55"/>
        <v>293.33333333333491</v>
      </c>
      <c r="S110" s="62">
        <f ca="1">AVERAGE(OFFSET($R$3,0,0,'Données projet'!$E$9+1,1))-AVERAGE(OFFSET($H$3,0,0,'Données projet'!$E$9+1,1))</f>
        <v>173.76802753906867</v>
      </c>
      <c r="T110" s="62">
        <f t="shared" si="88"/>
        <v>153.4527010894717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-2.2737367544323206E-13</v>
      </c>
      <c r="AJ110" s="14">
        <f>AI110*VLOOKUP('Données projet'!$B$10,Paramètres!$A$1:$I$89,3,0)*VLOOKUP('Données projet'!$B$10,Paramètres!$A$1:$I$89,5,0)</f>
        <v>-1.2710188457276673E-13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382.55387448074327</v>
      </c>
      <c r="AO110" s="62">
        <f t="shared" si="90"/>
        <v>476.29465646955543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2.7629809381649051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6.8804432606762709E-11</v>
      </c>
      <c r="AX110" s="23">
        <f t="shared" si="60"/>
        <v>2.7629809382337096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2">
        <f t="shared" si="86"/>
        <v>15.115714645211925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70">
        <f t="shared" si="56"/>
        <v>410.13596967374428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5.3205440053716299E-14</v>
      </c>
      <c r="P111" s="14">
        <f t="shared" si="87"/>
        <v>8.602146238565607E-13</v>
      </c>
      <c r="Q111" s="22">
        <f t="shared" si="107"/>
        <v>1.590873277977066E-12</v>
      </c>
      <c r="R111" s="62">
        <f t="shared" si="55"/>
        <v>293.33333333333491</v>
      </c>
      <c r="S111" s="62">
        <f ca="1">AVERAGE(OFFSET($R$3,0,0,'Données projet'!$E$9+1,1))-AVERAGE(OFFSET($H$3,0,0,'Données projet'!$E$9+1,1))</f>
        <v>173.76802753906867</v>
      </c>
      <c r="T111" s="62">
        <f t="shared" si="88"/>
        <v>153.4527010894717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-2.2737367544323206E-13</v>
      </c>
      <c r="AJ111" s="14">
        <f>AI111*VLOOKUP('Données projet'!$B$10,Paramètres!$A$1:$I$89,3,0)*VLOOKUP('Données projet'!$B$10,Paramètres!$A$1:$I$89,5,0)</f>
        <v>-1.2710188457276673E-13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382.55387448074327</v>
      </c>
      <c r="AO111" s="62">
        <f t="shared" si="90"/>
        <v>476.29465646955543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2.7088005672194586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4.8652080871934716E-11</v>
      </c>
      <c r="AX111" s="23">
        <f t="shared" si="60"/>
        <v>2.7088005672681108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2">
        <f t="shared" si="86"/>
        <v>15.239317169358381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70">
        <f t="shared" si="56"/>
        <v>411.18898573663273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5.3205440053716299E-14</v>
      </c>
      <c r="P112" s="14">
        <f t="shared" si="87"/>
        <v>8.602146238565607E-13</v>
      </c>
      <c r="Q112" s="22">
        <f t="shared" si="107"/>
        <v>1.590873277977066E-12</v>
      </c>
      <c r="R112" s="62">
        <f t="shared" si="55"/>
        <v>293.33333333333491</v>
      </c>
      <c r="S112" s="62">
        <f ca="1">AVERAGE(OFFSET($R$3,0,0,'Données projet'!$E$9+1,1))-AVERAGE(OFFSET($H$3,0,0,'Données projet'!$E$9+1,1))</f>
        <v>173.76802753906867</v>
      </c>
      <c r="T112" s="62">
        <f t="shared" si="88"/>
        <v>153.4527010894717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-2.2737367544323206E-13</v>
      </c>
      <c r="AJ112" s="14">
        <f>AI112*VLOOKUP('Données projet'!$B$10,Paramètres!$A$1:$I$89,3,0)*VLOOKUP('Données projet'!$B$10,Paramètres!$A$1:$I$89,5,0)</f>
        <v>-1.2710188457276673E-13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382.55387448074327</v>
      </c>
      <c r="AO112" s="62">
        <f t="shared" si="90"/>
        <v>476.29465646955543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2.6556826403014893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3.4402216303381355E-11</v>
      </c>
      <c r="AX112" s="23">
        <f t="shared" si="60"/>
        <v>2.6556826403358915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2">
        <f t="shared" si="86"/>
        <v>15.362787768111703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70">
        <f t="shared" si="56"/>
        <v>412.2417720294614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5.3205440053716299E-14</v>
      </c>
      <c r="P113" s="14">
        <f t="shared" si="87"/>
        <v>8.602146238565607E-13</v>
      </c>
      <c r="Q113" s="22">
        <f t="shared" si="107"/>
        <v>1.590873277977066E-12</v>
      </c>
      <c r="R113" s="62">
        <f t="shared" si="55"/>
        <v>293.33333333333491</v>
      </c>
      <c r="S113" s="62">
        <f ca="1">AVERAGE(OFFSET($R$3,0,0,'Données projet'!$E$9+1,1))-AVERAGE(OFFSET($H$3,0,0,'Données projet'!$E$9+1,1))</f>
        <v>173.76802753906867</v>
      </c>
      <c r="T113" s="62">
        <f t="shared" si="88"/>
        <v>153.4527010894717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-2.2737367544323206E-13</v>
      </c>
      <c r="AJ113" s="14">
        <f>AI113*VLOOKUP('Données projet'!$B$10,Paramètres!$A$1:$I$89,3,0)*VLOOKUP('Données projet'!$B$10,Paramètres!$A$1:$I$89,5,0)</f>
        <v>-1.2710188457276673E-13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382.55387448074327</v>
      </c>
      <c r="AO113" s="62">
        <f t="shared" si="90"/>
        <v>476.29465646955543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2.6036063235316451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2.4326040435967358E-11</v>
      </c>
      <c r="AX113" s="23">
        <f t="shared" si="60"/>
        <v>2.603606323555971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2">
        <f t="shared" si="86"/>
        <v>15.486127779723555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70">
        <f t="shared" si="56"/>
        <v>413.29433088301869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5.3205440053716299E-14</v>
      </c>
      <c r="P114" s="14">
        <f t="shared" si="87"/>
        <v>8.602146238565607E-13</v>
      </c>
      <c r="Q114" s="22">
        <f t="shared" si="107"/>
        <v>1.590873277977066E-12</v>
      </c>
      <c r="R114" s="62">
        <f t="shared" si="55"/>
        <v>293.33333333333491</v>
      </c>
      <c r="S114" s="62">
        <f ca="1">AVERAGE(OFFSET($R$3,0,0,'Données projet'!$E$9+1,1))-AVERAGE(OFFSET($H$3,0,0,'Données projet'!$E$9+1,1))</f>
        <v>173.76802753906867</v>
      </c>
      <c r="T114" s="62">
        <f t="shared" si="88"/>
        <v>153.4527010894717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-2.2737367544323206E-13</v>
      </c>
      <c r="AJ114" s="14">
        <f>AI114*VLOOKUP('Données projet'!$B$10,Paramètres!$A$1:$I$89,3,0)*VLOOKUP('Données projet'!$B$10,Paramètres!$A$1:$I$89,5,0)</f>
        <v>-1.2710188457276673E-13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382.55387448074327</v>
      </c>
      <c r="AO114" s="62">
        <f t="shared" si="90"/>
        <v>476.29465646955543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2.5525511915702408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1.7201108151690677E-11</v>
      </c>
      <c r="AX114" s="23">
        <f t="shared" si="60"/>
        <v>2.5525511915874417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2">
        <f t="shared" si="86"/>
        <v>15.609338516941946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70">
        <f t="shared" si="56"/>
        <v>414.34666458367406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5.3205440053716299E-14</v>
      </c>
      <c r="P115" s="14">
        <f t="shared" si="87"/>
        <v>8.602146238565607E-13</v>
      </c>
      <c r="Q115" s="22">
        <f t="shared" si="107"/>
        <v>1.590873277977066E-12</v>
      </c>
      <c r="R115" s="62">
        <f t="shared" si="55"/>
        <v>293.33333333333491</v>
      </c>
      <c r="S115" s="62">
        <f ca="1">AVERAGE(OFFSET($R$3,0,0,'Données projet'!$E$9+1,1))-AVERAGE(OFFSET($H$3,0,0,'Données projet'!$E$9+1,1))</f>
        <v>173.76802753906867</v>
      </c>
      <c r="T115" s="62">
        <f t="shared" si="88"/>
        <v>153.4527010894717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-2.2737367544323206E-13</v>
      </c>
      <c r="AJ115" s="14">
        <f>AI115*VLOOKUP('Données projet'!$B$10,Paramètres!$A$1:$I$89,3,0)*VLOOKUP('Données projet'!$B$10,Paramètres!$A$1:$I$89,5,0)</f>
        <v>-1.2710188457276673E-13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382.55387448074327</v>
      </c>
      <c r="AO115" s="62">
        <f t="shared" si="90"/>
        <v>476.29465646955543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2.502497219606044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1.2163020217983679E-11</v>
      </c>
      <c r="AX115" s="23">
        <f t="shared" si="60"/>
        <v>2.5024972196182071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2">
        <f t="shared" si="86"/>
        <v>15.732421267720559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70">
        <f t="shared" si="56"/>
        <v>415.39877537461348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5.3205440053716299E-14</v>
      </c>
      <c r="P116" s="14">
        <f t="shared" si="87"/>
        <v>8.602146238565607E-13</v>
      </c>
      <c r="Q116" s="22">
        <f t="shared" si="107"/>
        <v>1.590873277977066E-12</v>
      </c>
      <c r="R116" s="62">
        <f t="shared" si="55"/>
        <v>293.33333333333491</v>
      </c>
      <c r="S116" s="62">
        <f ca="1">AVERAGE(OFFSET($R$3,0,0,'Données projet'!$E$9+1,1))-AVERAGE(OFFSET($H$3,0,0,'Données projet'!$E$9+1,1))</f>
        <v>173.76802753906867</v>
      </c>
      <c r="T116" s="62">
        <f t="shared" si="88"/>
        <v>153.4527010894717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-2.2737367544323206E-13</v>
      </c>
      <c r="AJ116" s="14">
        <f>AI116*VLOOKUP('Données projet'!$B$10,Paramètres!$A$1:$I$89,3,0)*VLOOKUP('Données projet'!$B$10,Paramètres!$A$1:$I$89,5,0)</f>
        <v>-1.2710188457276673E-13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382.55387448074327</v>
      </c>
      <c r="AO116" s="62">
        <f t="shared" si="90"/>
        <v>476.29465646955543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2.4534247755021568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8.6005540758453387E-12</v>
      </c>
      <c r="AX116" s="23">
        <f t="shared" si="60"/>
        <v>2.4534247755107574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2">
        <f t="shared" si="86"/>
        <v>15.855377295902201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70">
        <f t="shared" si="56"/>
        <v>416.45066545702986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5.3205440053716299E-14</v>
      </c>
      <c r="P117" s="14">
        <f t="shared" si="87"/>
        <v>8.602146238565607E-13</v>
      </c>
      <c r="Q117" s="22">
        <f t="shared" si="107"/>
        <v>1.590873277977066E-12</v>
      </c>
      <c r="R117" s="62">
        <f t="shared" si="55"/>
        <v>293.33333333333491</v>
      </c>
      <c r="S117" s="62">
        <f ca="1">AVERAGE(OFFSET($R$3,0,0,'Données projet'!$E$9+1,1))-AVERAGE(OFFSET($H$3,0,0,'Données projet'!$E$9+1,1))</f>
        <v>173.76802753906867</v>
      </c>
      <c r="T117" s="62">
        <f t="shared" si="88"/>
        <v>153.4527010894717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-2.2737367544323206E-13</v>
      </c>
      <c r="AJ117" s="14">
        <f>AI117*VLOOKUP('Données projet'!$B$10,Paramètres!$A$1:$I$89,3,0)*VLOOKUP('Données projet'!$B$10,Paramètres!$A$1:$I$89,5,0)</f>
        <v>-1.2710188457276673E-13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382.55387448074327</v>
      </c>
      <c r="AO117" s="62">
        <f t="shared" si="90"/>
        <v>476.29465646955543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2.405314612095911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6.0815101089918394E-12</v>
      </c>
      <c r="AX117" s="23">
        <f t="shared" si="60"/>
        <v>2.4053146121019924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2">
        <f t="shared" si="86"/>
        <v>15.978207841877643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70">
        <f t="shared" si="56"/>
        <v>417.5023369912704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5.3205440053716299E-14</v>
      </c>
      <c r="P118" s="14">
        <f t="shared" si="87"/>
        <v>8.602146238565607E-13</v>
      </c>
      <c r="Q118" s="22">
        <f t="shared" si="107"/>
        <v>1.590873277977066E-12</v>
      </c>
      <c r="R118" s="62">
        <f t="shared" si="55"/>
        <v>293.33333333333491</v>
      </c>
      <c r="S118" s="62">
        <f ca="1">AVERAGE(OFFSET($R$3,0,0,'Données projet'!$E$9+1,1))-AVERAGE(OFFSET($H$3,0,0,'Données projet'!$E$9+1,1))</f>
        <v>173.76802753906867</v>
      </c>
      <c r="T118" s="62">
        <f t="shared" si="88"/>
        <v>153.4527010894717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-2.2737367544323206E-13</v>
      </c>
      <c r="AJ118" s="14">
        <f>AI118*VLOOKUP('Données projet'!$B$10,Paramètres!$A$1:$I$89,3,0)*VLOOKUP('Données projet'!$B$10,Paramètres!$A$1:$I$89,5,0)</f>
        <v>-1.2710188457276673E-13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382.55387448074327</v>
      </c>
      <c r="AO118" s="62">
        <f t="shared" si="90"/>
        <v>476.29465646955543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2.3581478596497596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4.3002770379226693E-12</v>
      </c>
      <c r="AX118" s="23">
        <f t="shared" si="60"/>
        <v>2.3581478596540597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2">
        <f t="shared" si="86"/>
        <v>16.100914123220836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70">
        <f t="shared" si="56"/>
        <v>418.55379209794313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5.3205440053716299E-14</v>
      </c>
      <c r="P119" s="14">
        <f t="shared" si="87"/>
        <v>8.602146238565607E-13</v>
      </c>
      <c r="Q119" s="22">
        <f t="shared" si="107"/>
        <v>1.590873277977066E-12</v>
      </c>
      <c r="R119" s="62">
        <f t="shared" si="55"/>
        <v>293.33333333333491</v>
      </c>
      <c r="S119" s="62">
        <f ca="1">AVERAGE(OFFSET($R$3,0,0,'Données projet'!$E$9+1,1))-AVERAGE(OFFSET($H$3,0,0,'Données projet'!$E$9+1,1))</f>
        <v>173.76802753906867</v>
      </c>
      <c r="T119" s="62">
        <f t="shared" si="88"/>
        <v>153.4527010894717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-2.2737367544323206E-13</v>
      </c>
      <c r="AJ119" s="14">
        <f>AI119*VLOOKUP('Données projet'!$B$10,Paramètres!$A$1:$I$89,3,0)*VLOOKUP('Données projet'!$B$10,Paramètres!$A$1:$I$89,5,0)</f>
        <v>-1.2710188457276673E-13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382.55387448074327</v>
      </c>
      <c r="AO119" s="62">
        <f t="shared" si="90"/>
        <v>476.29465646955543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2.3119060184501992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3.0407550544959197E-12</v>
      </c>
      <c r="AX119" s="23">
        <f t="shared" si="60"/>
        <v>2.3119060184532398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2">
        <f t="shared" si="86"/>
        <v>16.22349733530163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70">
        <f t="shared" si="56"/>
        <v>419.60503285898386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5.3205440053716299E-14</v>
      </c>
      <c r="P120" s="14">
        <f t="shared" si="87"/>
        <v>8.602146238565607E-13</v>
      </c>
      <c r="Q120" s="22">
        <f t="shared" si="107"/>
        <v>1.590873277977066E-12</v>
      </c>
      <c r="R120" s="62">
        <f t="shared" si="55"/>
        <v>293.33333333333491</v>
      </c>
      <c r="S120" s="62">
        <f ca="1">AVERAGE(OFFSET($R$3,0,0,'Données projet'!$E$9+1,1))-AVERAGE(OFFSET($H$3,0,0,'Données projet'!$E$9+1,1))</f>
        <v>173.76802753906867</v>
      </c>
      <c r="T120" s="62">
        <f t="shared" si="88"/>
        <v>153.4527010894717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-2.2737367544323206E-13</v>
      </c>
      <c r="AJ120" s="14">
        <f>AI120*VLOOKUP('Données projet'!$B$10,Paramètres!$A$1:$I$89,3,0)*VLOOKUP('Données projet'!$B$10,Paramètres!$A$1:$I$89,5,0)</f>
        <v>-1.2710188457276673E-13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382.55387448074327</v>
      </c>
      <c r="AO120" s="62">
        <f t="shared" si="90"/>
        <v>476.29465646955543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2.2665709515518238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2.1501385189613347E-12</v>
      </c>
      <c r="AX120" s="23">
        <f t="shared" si="60"/>
        <v>2.266570951553974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2">
        <f t="shared" si="86"/>
        <v>16.345958651876956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70">
        <f t="shared" si="56"/>
        <v>420.65606131868589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5.3205440053716299E-14</v>
      </c>
      <c r="P121" s="14">
        <f t="shared" si="87"/>
        <v>8.602146238565607E-13</v>
      </c>
      <c r="Q121" s="22">
        <f t="shared" si="107"/>
        <v>1.590873277977066E-12</v>
      </c>
      <c r="R121" s="62">
        <f t="shared" si="55"/>
        <v>293.33333333333491</v>
      </c>
      <c r="S121" s="62">
        <f ca="1">AVERAGE(OFFSET($R$3,0,0,'Données projet'!$E$9+1,1))-AVERAGE(OFFSET($H$3,0,0,'Données projet'!$E$9+1,1))</f>
        <v>173.76802753906867</v>
      </c>
      <c r="T121" s="62">
        <f t="shared" si="88"/>
        <v>153.4527010894717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-2.2737367544323206E-13</v>
      </c>
      <c r="AJ121" s="14">
        <f>AI121*VLOOKUP('Données projet'!$B$10,Paramètres!$A$1:$I$89,3,0)*VLOOKUP('Données projet'!$B$10,Paramètres!$A$1:$I$89,5,0)</f>
        <v>-1.2710188457276673E-13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382.55387448074327</v>
      </c>
      <c r="AO121" s="62">
        <f t="shared" si="90"/>
        <v>476.29465646955543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2.2221248776636653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1.5203775272479599E-12</v>
      </c>
      <c r="AX121" s="23">
        <f t="shared" si="60"/>
        <v>2.2221248776651858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2">
        <f t="shared" si="86"/>
        <v>16.468299225661315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70">
        <f t="shared" si="56"/>
        <v>421.70687948469367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5.3205440053716299E-14</v>
      </c>
      <c r="P122" s="14">
        <f t="shared" si="87"/>
        <v>8.602146238565607E-13</v>
      </c>
      <c r="Q122" s="22">
        <f t="shared" si="107"/>
        <v>1.590873277977066E-12</v>
      </c>
      <c r="R122" s="62">
        <f t="shared" si="55"/>
        <v>293.33333333333491</v>
      </c>
      <c r="S122" s="62">
        <f ca="1">AVERAGE(OFFSET($R$3,0,0,'Données projet'!$E$9+1,1))-AVERAGE(OFFSET($H$3,0,0,'Données projet'!$E$9+1,1))</f>
        <v>173.76802753906867</v>
      </c>
      <c r="T122" s="62">
        <f t="shared" si="88"/>
        <v>153.4527010894717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-2.2737367544323206E-13</v>
      </c>
      <c r="AJ122" s="14">
        <f>AI122*VLOOKUP('Données projet'!$B$10,Paramètres!$A$1:$I$89,3,0)*VLOOKUP('Données projet'!$B$10,Paramètres!$A$1:$I$89,5,0)</f>
        <v>-1.2710188457276673E-13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382.55387448074327</v>
      </c>
      <c r="AO122" s="62">
        <f t="shared" si="90"/>
        <v>476.29465646955543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2.1785503641750252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1.0750692594806673E-12</v>
      </c>
      <c r="AX122" s="23">
        <f t="shared" si="60"/>
        <v>2.1785503641761004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2">
        <f t="shared" si="86"/>
        <v>16.590520188877683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70">
        <f t="shared" si="56"/>
        <v>422.75748932896221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5.3205440053716299E-14</v>
      </c>
      <c r="P123" s="14">
        <f t="shared" si="87"/>
        <v>8.602146238565607E-13</v>
      </c>
      <c r="Q123" s="22">
        <f t="shared" si="107"/>
        <v>1.590873277977066E-12</v>
      </c>
      <c r="R123" s="62">
        <f t="shared" si="55"/>
        <v>293.33333333333491</v>
      </c>
      <c r="S123" s="62">
        <f ca="1">AVERAGE(OFFSET($R$3,0,0,'Données projet'!$E$9+1,1))-AVERAGE(OFFSET($H$3,0,0,'Données projet'!$E$9+1,1))</f>
        <v>173.76802753906867</v>
      </c>
      <c r="T123" s="62">
        <f t="shared" si="88"/>
        <v>153.4527010894717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-2.2737367544323206E-13</v>
      </c>
      <c r="AJ123" s="14">
        <f>AI123*VLOOKUP('Données projet'!$B$10,Paramètres!$A$1:$I$89,3,0)*VLOOKUP('Données projet'!$B$10,Paramètres!$A$1:$I$89,5,0)</f>
        <v>-1.2710188457276673E-13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382.55387448074327</v>
      </c>
      <c r="AO123" s="62">
        <f t="shared" si="90"/>
        <v>476.29465646955543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2.1358303203180684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7.6018876362397993E-13</v>
      </c>
      <c r="AX123" s="23">
        <f t="shared" si="60"/>
        <v>2.1358303203188287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2">
        <f t="shared" si="86"/>
        <v>16.712622653789325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70">
        <f t="shared" si="56"/>
        <v>423.80789278868326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5.3205440053716299E-14</v>
      </c>
      <c r="P124" s="14">
        <f t="shared" si="87"/>
        <v>8.602146238565607E-13</v>
      </c>
      <c r="Q124" s="22">
        <f t="shared" si="107"/>
        <v>1.590873277977066E-12</v>
      </c>
      <c r="R124" s="62">
        <f t="shared" si="55"/>
        <v>293.33333333333491</v>
      </c>
      <c r="S124" s="62">
        <f ca="1">AVERAGE(OFFSET($R$3,0,0,'Données projet'!$E$9+1,1))-AVERAGE(OFFSET($H$3,0,0,'Données projet'!$E$9+1,1))</f>
        <v>173.76802753906867</v>
      </c>
      <c r="T124" s="62">
        <f t="shared" si="88"/>
        <v>153.4527010894717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-2.2737367544323206E-13</v>
      </c>
      <c r="AJ124" s="14">
        <f>AI124*VLOOKUP('Données projet'!$B$10,Paramètres!$A$1:$I$89,3,0)*VLOOKUP('Données projet'!$B$10,Paramètres!$A$1:$I$89,5,0)</f>
        <v>-1.2710188457276673E-13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382.55387448074327</v>
      </c>
      <c r="AO124" s="62">
        <f t="shared" si="90"/>
        <v>476.29465646955543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2.0939479904644926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5.3753462974033367E-13</v>
      </c>
      <c r="AX124" s="23">
        <f t="shared" si="60"/>
        <v>2.09394799046503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2">
        <f t="shared" si="86"/>
        <v>16.834607713213771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70">
        <f t="shared" si="56"/>
        <v>424.85809176718089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5.3205440053716299E-14</v>
      </c>
      <c r="P125" s="14">
        <f t="shared" si="87"/>
        <v>8.602146238565607E-13</v>
      </c>
      <c r="Q125" s="22">
        <f t="shared" si="107"/>
        <v>1.590873277977066E-12</v>
      </c>
      <c r="R125" s="62">
        <f t="shared" si="55"/>
        <v>293.33333333333491</v>
      </c>
      <c r="S125" s="62">
        <f ca="1">AVERAGE(OFFSET($R$3,0,0,'Données projet'!$E$9+1,1))-AVERAGE(OFFSET($H$3,0,0,'Données projet'!$E$9+1,1))</f>
        <v>173.76802753906867</v>
      </c>
      <c r="T125" s="62">
        <f t="shared" si="88"/>
        <v>153.4527010894717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-2.2737367544323206E-13</v>
      </c>
      <c r="AJ125" s="14">
        <f>AI125*VLOOKUP('Données projet'!$B$10,Paramètres!$A$1:$I$89,3,0)*VLOOKUP('Données projet'!$B$10,Paramètres!$A$1:$I$89,5,0)</f>
        <v>-1.2710188457276673E-13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382.55387448074327</v>
      </c>
      <c r="AO125" s="62">
        <f t="shared" si="90"/>
        <v>476.29465646955543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2.0528869475536466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3.8009438181198997E-13</v>
      </c>
      <c r="AX125" s="23">
        <f t="shared" si="60"/>
        <v>2.0528869475540268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2">
        <f t="shared" si="86"/>
        <v>16.956476441019255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70">
        <f t="shared" si="56"/>
        <v>425.90808813477543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5.3205440053716299E-14</v>
      </c>
      <c r="P126" s="14">
        <f t="shared" si="87"/>
        <v>8.602146238565607E-13</v>
      </c>
      <c r="Q126" s="22">
        <f t="shared" si="107"/>
        <v>1.590873277977066E-12</v>
      </c>
      <c r="R126" s="62">
        <f t="shared" si="55"/>
        <v>293.33333333333491</v>
      </c>
      <c r="S126" s="62">
        <f ca="1">AVERAGE(OFFSET($R$3,0,0,'Données projet'!$E$9+1,1))-AVERAGE(OFFSET($H$3,0,0,'Données projet'!$E$9+1,1))</f>
        <v>173.76802753906867</v>
      </c>
      <c r="T126" s="62">
        <f t="shared" si="88"/>
        <v>153.4527010894717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-2.2737367544323206E-13</v>
      </c>
      <c r="AJ126" s="14">
        <f>AI126*VLOOKUP('Données projet'!$B$10,Paramètres!$A$1:$I$89,3,0)*VLOOKUP('Données projet'!$B$10,Paramètres!$A$1:$I$89,5,0)</f>
        <v>-1.2710188457276673E-13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382.55387448074327</v>
      </c>
      <c r="AO126" s="62">
        <f t="shared" si="90"/>
        <v>476.29465646955543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2.0126310866495194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2.6876731487016683E-13</v>
      </c>
      <c r="AX126" s="23">
        <f t="shared" si="60"/>
        <v>2.0126310866497881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2">
        <f t="shared" si="86"/>
        <v>17.07822989260459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70">
        <f t="shared" si="56"/>
        <v>426.95788372961988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5.3205440053716299E-14</v>
      </c>
      <c r="P127" s="14">
        <f t="shared" si="87"/>
        <v>8.602146238565607E-13</v>
      </c>
      <c r="Q127" s="22">
        <f t="shared" si="107"/>
        <v>1.590873277977066E-12</v>
      </c>
      <c r="R127" s="62">
        <f t="shared" si="55"/>
        <v>293.33333333333491</v>
      </c>
      <c r="S127" s="62">
        <f ca="1">AVERAGE(OFFSET($R$3,0,0,'Données projet'!$E$9+1,1))-AVERAGE(OFFSET($H$3,0,0,'Données projet'!$E$9+1,1))</f>
        <v>173.76802753906867</v>
      </c>
      <c r="T127" s="62">
        <f t="shared" si="88"/>
        <v>153.4527010894717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-2.2737367544323206E-13</v>
      </c>
      <c r="AJ127" s="14">
        <f>AI127*VLOOKUP('Données projet'!$B$10,Paramètres!$A$1:$I$89,3,0)*VLOOKUP('Données projet'!$B$10,Paramètres!$A$1:$I$89,5,0)</f>
        <v>-1.2710188457276673E-13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382.55387448074327</v>
      </c>
      <c r="AO127" s="62">
        <f t="shared" si="90"/>
        <v>476.29465646955543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1.9731646186240714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1.9004719090599498E-13</v>
      </c>
      <c r="AX127" s="23">
        <f t="shared" si="60"/>
        <v>1.9731646186242615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2">
        <f t="shared" si="86"/>
        <v>17.199869105363234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70">
        <f t="shared" si="56"/>
        <v>428.00748035850785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5.3205440053716299E-14</v>
      </c>
      <c r="P128" s="14">
        <f t="shared" si="87"/>
        <v>8.602146238565607E-13</v>
      </c>
      <c r="Q128" s="22">
        <f t="shared" si="107"/>
        <v>1.590873277977066E-12</v>
      </c>
      <c r="R128" s="62">
        <f t="shared" si="55"/>
        <v>293.33333333333491</v>
      </c>
      <c r="S128" s="62">
        <f ca="1">AVERAGE(OFFSET($R$3,0,0,'Données projet'!$E$9+1,1))-AVERAGE(OFFSET($H$3,0,0,'Données projet'!$E$9+1,1))</f>
        <v>173.76802753906867</v>
      </c>
      <c r="T128" s="62">
        <f t="shared" si="88"/>
        <v>153.4527010894717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-2.2737367544323206E-13</v>
      </c>
      <c r="AJ128" s="14">
        <f>AI128*VLOOKUP('Données projet'!$B$10,Paramètres!$A$1:$I$89,3,0)*VLOOKUP('Données projet'!$B$10,Paramètres!$A$1:$I$89,5,0)</f>
        <v>-1.2710188457276673E-13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382.55387448074327</v>
      </c>
      <c r="AO128" s="62">
        <f t="shared" si="90"/>
        <v>476.29465646955543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1.9344720639644339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1.3438365743508342E-13</v>
      </c>
      <c r="AX128" s="23">
        <f t="shared" si="60"/>
        <v>1.9344720639645683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2">
        <f t="shared" si="86"/>
        <v>17.321395099131934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70">
        <f t="shared" si="56"/>
        <v>429.05687979765503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5.3205440053716299E-14</v>
      </c>
      <c r="P129" s="14">
        <f t="shared" si="87"/>
        <v>8.602146238565607E-13</v>
      </c>
      <c r="Q129" s="22">
        <f t="shared" si="107"/>
        <v>1.590873277977066E-12</v>
      </c>
      <c r="R129" s="62">
        <f t="shared" si="55"/>
        <v>293.33333333333491</v>
      </c>
      <c r="S129" s="62">
        <f ca="1">AVERAGE(OFFSET($R$3,0,0,'Données projet'!$E$9+1,1))-AVERAGE(OFFSET($H$3,0,0,'Données projet'!$E$9+1,1))</f>
        <v>173.76802753906867</v>
      </c>
      <c r="T129" s="62">
        <f t="shared" si="88"/>
        <v>153.4527010894717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-2.2737367544323206E-13</v>
      </c>
      <c r="AJ129" s="14">
        <f>AI129*VLOOKUP('Données projet'!$B$10,Paramètres!$A$1:$I$89,3,0)*VLOOKUP('Données projet'!$B$10,Paramètres!$A$1:$I$89,5,0)</f>
        <v>-1.2710188457276673E-13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382.55387448074327</v>
      </c>
      <c r="AO129" s="62">
        <f t="shared" si="90"/>
        <v>476.29465646955543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1.8965382467015439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9.5023595452997491E-14</v>
      </c>
      <c r="AX129" s="23">
        <f t="shared" si="60"/>
        <v>1.896538246701639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2">
        <f t="shared" si="86"/>
        <v>17.442808876624763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70">
        <f t="shared" si="56"/>
        <v>430.10608379345501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5.3205440053716299E-14</v>
      </c>
      <c r="P130" s="14">
        <f t="shared" si="87"/>
        <v>8.602146238565607E-13</v>
      </c>
      <c r="Q130" s="22">
        <f t="shared" si="107"/>
        <v>1.590873277977066E-12</v>
      </c>
      <c r="R130" s="62">
        <f t="shared" si="55"/>
        <v>293.33333333333491</v>
      </c>
      <c r="S130" s="62">
        <f ca="1">AVERAGE(OFFSET($R$3,0,0,'Données projet'!$E$9+1,1))-AVERAGE(OFFSET($H$3,0,0,'Données projet'!$E$9+1,1))</f>
        <v>173.76802753906867</v>
      </c>
      <c r="T130" s="62">
        <f t="shared" si="88"/>
        <v>153.4527010894717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-2.2737367544323206E-13</v>
      </c>
      <c r="AJ130" s="14">
        <f>AI130*VLOOKUP('Données projet'!$B$10,Paramètres!$A$1:$I$89,3,0)*VLOOKUP('Données projet'!$B$10,Paramètres!$A$1:$I$89,5,0)</f>
        <v>-1.2710188457276673E-13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382.55387448074327</v>
      </c>
      <c r="AO130" s="62">
        <f t="shared" si="90"/>
        <v>476.29465646955543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1.8593482884578352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6.7191828717541708E-14</v>
      </c>
      <c r="AX130" s="23">
        <f t="shared" si="60"/>
        <v>1.8593482884579025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2">
        <f t="shared" si="86"/>
        <v>17.564111423853195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70">
        <f t="shared" si="56"/>
        <v>431.15509406321121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5.3205440053716299E-14</v>
      </c>
      <c r="P131" s="14">
        <f t="shared" si="87"/>
        <v>8.602146238565607E-13</v>
      </c>
      <c r="Q131" s="22">
        <f t="shared" ref="Q131:Q153" si="108">(O131+P131)*0.475*44/12</f>
        <v>1.590873277977066E-12</v>
      </c>
      <c r="R131" s="62">
        <f t="shared" ref="R131:R194" si="109">Q131+(I131+J131)*44/12</f>
        <v>293.33333333333491</v>
      </c>
      <c r="S131" s="62">
        <f ca="1">AVERAGE(OFFSET($R$3,0,0,'Données projet'!$E$9+1,1))-AVERAGE(OFFSET($H$3,0,0,'Données projet'!$E$9+1,1))</f>
        <v>173.76802753906867</v>
      </c>
      <c r="T131" s="62">
        <f t="shared" si="88"/>
        <v>153.4527010894717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-2.2737367544323206E-13</v>
      </c>
      <c r="AJ131" s="14">
        <f>AI131*VLOOKUP('Données projet'!$B$10,Paramètres!$A$1:$I$89,3,0)*VLOOKUP('Données projet'!$B$10,Paramètres!$A$1:$I$89,5,0)</f>
        <v>-1.2710188457276673E-13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382.55387448074327</v>
      </c>
      <c r="AO131" s="62">
        <f t="shared" si="90"/>
        <v>476.29465646955543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1.8228876026116509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4.7511797726498746E-14</v>
      </c>
      <c r="AX131" s="23">
        <f t="shared" si="60"/>
        <v>1.8228876026116985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2">
        <f t="shared" si="86"/>
        <v>17.685303710532512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70">
        <f t="shared" ref="H132:H195" si="110">(B132+E132+F132)*44/12+(C132+D132)*0.475*44/12</f>
        <v>432.20391229584436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5.3205440053716299E-14</v>
      </c>
      <c r="P132" s="14">
        <f t="shared" si="87"/>
        <v>8.602146238565607E-13</v>
      </c>
      <c r="Q132" s="22">
        <f t="shared" si="108"/>
        <v>1.590873277977066E-12</v>
      </c>
      <c r="R132" s="62">
        <f t="shared" si="109"/>
        <v>293.33333333333491</v>
      </c>
      <c r="S132" s="62">
        <f ca="1">AVERAGE(OFFSET($R$3,0,0,'Données projet'!$E$9+1,1))-AVERAGE(OFFSET($H$3,0,0,'Données projet'!$E$9+1,1))</f>
        <v>173.76802753906867</v>
      </c>
      <c r="T132" s="62">
        <f t="shared" si="88"/>
        <v>153.4527010894717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-2.2737367544323206E-13</v>
      </c>
      <c r="AJ132" s="14">
        <f>AI132*VLOOKUP('Données projet'!$B$10,Paramètres!$A$1:$I$89,3,0)*VLOOKUP('Données projet'!$B$10,Paramètres!$A$1:$I$89,5,0)</f>
        <v>-1.2710188457276673E-13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382.55387448074327</v>
      </c>
      <c r="AO132" s="62">
        <f t="shared" si="90"/>
        <v>476.29465646955543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1.7871418885760879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3.3595914358770854E-14</v>
      </c>
      <c r="AX132" s="23">
        <f t="shared" ref="AX132:AX153" si="114">SUM(AU132:AW132)</f>
        <v>1.7871418885761214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2">
        <f t="shared" ref="D133:D196" si="140">IFERROR(EXP(-1.0587+0.8836*LN(C133)+0.284),0)</f>
        <v>17.806386690475353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70">
        <f t="shared" si="110"/>
        <v>433.25254015257815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5.3205440053716299E-14</v>
      </c>
      <c r="P133" s="14">
        <f t="shared" ref="P133:P196" si="141">EXP(-1.0587+0.8836*LN(O133)+0.284)</f>
        <v>8.602146238565607E-13</v>
      </c>
      <c r="Q133" s="22">
        <f t="shared" si="108"/>
        <v>1.590873277977066E-12</v>
      </c>
      <c r="R133" s="62">
        <f t="shared" si="109"/>
        <v>293.33333333333491</v>
      </c>
      <c r="S133" s="62">
        <f ca="1">AVERAGE(OFFSET($R$3,0,0,'Données projet'!$E$9+1,1))-AVERAGE(OFFSET($H$3,0,0,'Données projet'!$E$9+1,1))</f>
        <v>173.76802753906867</v>
      </c>
      <c r="T133" s="62">
        <f t="shared" ref="T133:T196" si="142">$T$3</f>
        <v>153.4527010894717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-2.2737367544323206E-13</v>
      </c>
      <c r="AJ133" s="14">
        <f>AI133*VLOOKUP('Données projet'!$B$10,Paramètres!$A$1:$I$89,3,0)*VLOOKUP('Données projet'!$B$10,Paramètres!$A$1:$I$89,5,0)</f>
        <v>-1.2710188457276673E-13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382.55387448074327</v>
      </c>
      <c r="AO133" s="62">
        <f t="shared" ref="AO133:AO196" si="144">$AO$3</f>
        <v>476.29465646955543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1.7520971261900296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2.3755898863249373E-14</v>
      </c>
      <c r="AX133" s="23">
        <f t="shared" si="114"/>
        <v>1.7520971261900533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2">
        <f t="shared" si="140"/>
        <v>17.927361301972791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70">
        <f t="shared" si="110"/>
        <v>434.30097926760288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5.3205440053716299E-14</v>
      </c>
      <c r="P134" s="14">
        <f t="shared" si="141"/>
        <v>8.602146238565607E-13</v>
      </c>
      <c r="Q134" s="22">
        <f t="shared" si="108"/>
        <v>1.590873277977066E-12</v>
      </c>
      <c r="R134" s="62">
        <f t="shared" si="109"/>
        <v>293.33333333333491</v>
      </c>
      <c r="S134" s="62">
        <f ca="1">AVERAGE(OFFSET($R$3,0,0,'Données projet'!$E$9+1,1))-AVERAGE(OFFSET($H$3,0,0,'Données projet'!$E$9+1,1))</f>
        <v>173.76802753906867</v>
      </c>
      <c r="T134" s="62">
        <f t="shared" si="142"/>
        <v>153.4527010894717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-2.2737367544323206E-13</v>
      </c>
      <c r="AJ134" s="14">
        <f>AI134*VLOOKUP('Données projet'!$B$10,Paramètres!$A$1:$I$89,3,0)*VLOOKUP('Données projet'!$B$10,Paramètres!$A$1:$I$89,5,0)</f>
        <v>-1.2710188457276673E-13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382.55387448074327</v>
      </c>
      <c r="AO134" s="62">
        <f t="shared" si="144"/>
        <v>476.29465646955543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1.7177395702191673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1.6797957179385427E-14</v>
      </c>
      <c r="AX134" s="23">
        <f t="shared" si="114"/>
        <v>1.7177395702191842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2">
        <f t="shared" si="140"/>
        <v>18.048228468163416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70">
        <f t="shared" si="110"/>
        <v>435.34923124871818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5.3205440053716299E-14</v>
      </c>
      <c r="P135" s="14">
        <f t="shared" si="141"/>
        <v>8.602146238565607E-13</v>
      </c>
      <c r="Q135" s="22">
        <f t="shared" si="108"/>
        <v>1.590873277977066E-12</v>
      </c>
      <c r="R135" s="62">
        <f t="shared" si="109"/>
        <v>293.33333333333491</v>
      </c>
      <c r="S135" s="62">
        <f ca="1">AVERAGE(OFFSET($R$3,0,0,'Données projet'!$E$9+1,1))-AVERAGE(OFFSET($H$3,0,0,'Données projet'!$E$9+1,1))</f>
        <v>173.76802753906867</v>
      </c>
      <c r="T135" s="62">
        <f t="shared" si="142"/>
        <v>153.4527010894717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-2.2737367544323206E-13</v>
      </c>
      <c r="AJ135" s="14">
        <f>AI135*VLOOKUP('Données projet'!$B$10,Paramètres!$A$1:$I$89,3,0)*VLOOKUP('Données projet'!$B$10,Paramètres!$A$1:$I$89,5,0)</f>
        <v>-1.2710188457276673E-13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382.55387448074327</v>
      </c>
      <c r="AO135" s="62">
        <f t="shared" si="144"/>
        <v>476.29465646955543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1.6840557449648539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1.1877949431624686E-14</v>
      </c>
      <c r="AX135" s="23">
        <f t="shared" si="114"/>
        <v>1.6840557449648657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2">
        <f t="shared" si="140"/>
        <v>18.168989097390945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70">
        <f t="shared" si="110"/>
        <v>436.39729767795615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5.3205440053716299E-14</v>
      </c>
      <c r="P136" s="14">
        <f t="shared" si="141"/>
        <v>8.602146238565607E-13</v>
      </c>
      <c r="Q136" s="22">
        <f t="shared" si="108"/>
        <v>1.590873277977066E-12</v>
      </c>
      <c r="R136" s="62">
        <f t="shared" si="109"/>
        <v>293.33333333333491</v>
      </c>
      <c r="S136" s="62">
        <f ca="1">AVERAGE(OFFSET($R$3,0,0,'Données projet'!$E$9+1,1))-AVERAGE(OFFSET($H$3,0,0,'Données projet'!$E$9+1,1))</f>
        <v>173.76802753906867</v>
      </c>
      <c r="T136" s="62">
        <f t="shared" si="142"/>
        <v>153.4527010894717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-2.2737367544323206E-13</v>
      </c>
      <c r="AJ136" s="14">
        <f>AI136*VLOOKUP('Données projet'!$B$10,Paramètres!$A$1:$I$89,3,0)*VLOOKUP('Données projet'!$B$10,Paramètres!$A$1:$I$89,5,0)</f>
        <v>-1.2710188457276673E-13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382.55387448074327</v>
      </c>
      <c r="AO136" s="62">
        <f t="shared" si="144"/>
        <v>476.29465646955543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1.6510324389786726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8.3989785896927135E-15</v>
      </c>
      <c r="AX136" s="23">
        <f t="shared" si="114"/>
        <v>1.651032438978681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2">
        <f t="shared" si="140"/>
        <v>18.289644083550719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70">
        <f t="shared" si="110"/>
        <v>437.4451801121844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5.3205440053716299E-14</v>
      </c>
      <c r="P137" s="14">
        <f t="shared" si="141"/>
        <v>8.602146238565607E-13</v>
      </c>
      <c r="Q137" s="22">
        <f t="shared" si="108"/>
        <v>1.590873277977066E-12</v>
      </c>
      <c r="R137" s="62">
        <f t="shared" si="109"/>
        <v>293.33333333333491</v>
      </c>
      <c r="S137" s="62">
        <f ca="1">AVERAGE(OFFSET($R$3,0,0,'Données projet'!$E$9+1,1))-AVERAGE(OFFSET($H$3,0,0,'Données projet'!$E$9+1,1))</f>
        <v>173.76802753906867</v>
      </c>
      <c r="T137" s="62">
        <f t="shared" si="142"/>
        <v>153.4527010894717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-2.2737367544323206E-13</v>
      </c>
      <c r="AJ137" s="14">
        <f>AI137*VLOOKUP('Données projet'!$B$10,Paramètres!$A$1:$I$89,3,0)*VLOOKUP('Données projet'!$B$10,Paramètres!$A$1:$I$89,5,0)</f>
        <v>-1.2710188457276673E-13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382.55387448074327</v>
      </c>
      <c r="AO137" s="62">
        <f t="shared" si="144"/>
        <v>476.29465646955543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1.6186566998806526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5.9389747158123432E-15</v>
      </c>
      <c r="AX137" s="23">
        <f t="shared" si="114"/>
        <v>1.6186566998806586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2">
        <f t="shared" si="140"/>
        <v>18.41019430642563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70">
        <f t="shared" si="110"/>
        <v>438.49288008369155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5.3205440053716299E-14</v>
      </c>
      <c r="P138" s="14">
        <f t="shared" si="141"/>
        <v>8.602146238565607E-13</v>
      </c>
      <c r="Q138" s="22">
        <f t="shared" si="108"/>
        <v>1.590873277977066E-12</v>
      </c>
      <c r="R138" s="62">
        <f t="shared" si="109"/>
        <v>293.33333333333491</v>
      </c>
      <c r="S138" s="62">
        <f ca="1">AVERAGE(OFFSET($R$3,0,0,'Données projet'!$E$9+1,1))-AVERAGE(OFFSET($H$3,0,0,'Données projet'!$E$9+1,1))</f>
        <v>173.76802753906867</v>
      </c>
      <c r="T138" s="62">
        <f t="shared" si="142"/>
        <v>153.4527010894717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-2.2737367544323206E-13</v>
      </c>
      <c r="AJ138" s="14">
        <f>AI138*VLOOKUP('Données projet'!$B$10,Paramètres!$A$1:$I$89,3,0)*VLOOKUP('Données projet'!$B$10,Paramètres!$A$1:$I$89,5,0)</f>
        <v>-1.2710188457276673E-13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382.55387448074327</v>
      </c>
      <c r="AO138" s="62">
        <f t="shared" si="144"/>
        <v>476.29465646955543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1.5869158292790939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4.1994892948463568E-15</v>
      </c>
      <c r="AX138" s="23">
        <f t="shared" si="114"/>
        <v>1.5869158292790981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2">
        <f t="shared" si="140"/>
        <v>18.530640632011767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70">
        <f t="shared" si="110"/>
        <v>439.54039910075409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5.3205440053716299E-14</v>
      </c>
      <c r="P139" s="14">
        <f t="shared" si="141"/>
        <v>8.602146238565607E-13</v>
      </c>
      <c r="Q139" s="22">
        <f t="shared" si="108"/>
        <v>1.590873277977066E-12</v>
      </c>
      <c r="R139" s="62">
        <f t="shared" si="109"/>
        <v>293.33333333333491</v>
      </c>
      <c r="S139" s="62">
        <f ca="1">AVERAGE(OFFSET($R$3,0,0,'Données projet'!$E$9+1,1))-AVERAGE(OFFSET($H$3,0,0,'Données projet'!$E$9+1,1))</f>
        <v>173.76802753906867</v>
      </c>
      <c r="T139" s="62">
        <f t="shared" si="142"/>
        <v>153.4527010894717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-2.2737367544323206E-13</v>
      </c>
      <c r="AJ139" s="14">
        <f>AI139*VLOOKUP('Données projet'!$B$10,Paramètres!$A$1:$I$89,3,0)*VLOOKUP('Données projet'!$B$10,Paramètres!$A$1:$I$89,5,0)</f>
        <v>-1.2710188457276673E-13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382.55387448074327</v>
      </c>
      <c r="AO139" s="62">
        <f t="shared" si="144"/>
        <v>476.29465646955543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1.5557973777900123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2.9694873579061716E-15</v>
      </c>
      <c r="AX139" s="23">
        <f t="shared" si="114"/>
        <v>1.5557973777900151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2">
        <f t="shared" si="140"/>
        <v>18.65098391283415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70">
        <f t="shared" si="110"/>
        <v>440.58773864818636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5.3205440053716299E-14</v>
      </c>
      <c r="P140" s="14">
        <f t="shared" si="141"/>
        <v>8.602146238565607E-13</v>
      </c>
      <c r="Q140" s="22">
        <f t="shared" si="108"/>
        <v>1.590873277977066E-12</v>
      </c>
      <c r="R140" s="62">
        <f t="shared" si="109"/>
        <v>293.33333333333491</v>
      </c>
      <c r="S140" s="62">
        <f ca="1">AVERAGE(OFFSET($R$3,0,0,'Données projet'!$E$9+1,1))-AVERAGE(OFFSET($H$3,0,0,'Données projet'!$E$9+1,1))</f>
        <v>173.76802753906867</v>
      </c>
      <c r="T140" s="62">
        <f t="shared" si="142"/>
        <v>153.4527010894717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-2.2737367544323206E-13</v>
      </c>
      <c r="AJ140" s="14">
        <f>AI140*VLOOKUP('Données projet'!$B$10,Paramètres!$A$1:$I$89,3,0)*VLOOKUP('Données projet'!$B$10,Paramètres!$A$1:$I$89,5,0)</f>
        <v>-1.2710188457276673E-13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382.55387448074327</v>
      </c>
      <c r="AO140" s="62">
        <f t="shared" si="144"/>
        <v>476.29465646955543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1.5252891401542503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2.0997446474231784E-15</v>
      </c>
      <c r="AX140" s="23">
        <f t="shared" si="114"/>
        <v>1.5252891401542523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2">
        <f t="shared" si="140"/>
        <v>18.771224988253135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70">
        <f t="shared" si="110"/>
        <v>441.63490018787445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5.3205440053716299E-14</v>
      </c>
      <c r="P141" s="14">
        <f t="shared" si="141"/>
        <v>8.602146238565607E-13</v>
      </c>
      <c r="Q141" s="22">
        <f t="shared" si="108"/>
        <v>1.590873277977066E-12</v>
      </c>
      <c r="R141" s="62">
        <f t="shared" si="109"/>
        <v>293.33333333333491</v>
      </c>
      <c r="S141" s="62">
        <f ca="1">AVERAGE(OFFSET($R$3,0,0,'Données projet'!$E$9+1,1))-AVERAGE(OFFSET($H$3,0,0,'Données projet'!$E$9+1,1))</f>
        <v>173.76802753906867</v>
      </c>
      <c r="T141" s="62">
        <f t="shared" si="142"/>
        <v>153.4527010894717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-2.2737367544323206E-13</v>
      </c>
      <c r="AJ141" s="14">
        <f>AI141*VLOOKUP('Données projet'!$B$10,Paramètres!$A$1:$I$89,3,0)*VLOOKUP('Données projet'!$B$10,Paramètres!$A$1:$I$89,5,0)</f>
        <v>-1.2710188457276673E-13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382.55387448074327</v>
      </c>
      <c r="AO141" s="62">
        <f t="shared" si="144"/>
        <v>476.29465646955543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1.495379150450338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1.4847436789530858E-15</v>
      </c>
      <c r="AX141" s="23">
        <f t="shared" si="114"/>
        <v>1.4953791504503395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2">
        <f t="shared" si="140"/>
        <v>18.891364684761506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70">
        <f t="shared" si="110"/>
        <v>442.68188515929319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5.3205440053716299E-14</v>
      </c>
      <c r="P142" s="14">
        <f t="shared" si="141"/>
        <v>8.602146238565607E-13</v>
      </c>
      <c r="Q142" s="22">
        <f t="shared" si="108"/>
        <v>1.590873277977066E-12</v>
      </c>
      <c r="R142" s="62">
        <f t="shared" si="109"/>
        <v>293.33333333333491</v>
      </c>
      <c r="S142" s="62">
        <f ca="1">AVERAGE(OFFSET($R$3,0,0,'Données projet'!$E$9+1,1))-AVERAGE(OFFSET($H$3,0,0,'Données projet'!$E$9+1,1))</f>
        <v>173.76802753906867</v>
      </c>
      <c r="T142" s="62">
        <f t="shared" si="142"/>
        <v>153.4527010894717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-2.2737367544323206E-13</v>
      </c>
      <c r="AJ142" s="14">
        <f>AI142*VLOOKUP('Données projet'!$B$10,Paramètres!$A$1:$I$89,3,0)*VLOOKUP('Données projet'!$B$10,Paramètres!$A$1:$I$89,5,0)</f>
        <v>-1.2710188457276673E-13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382.55387448074327</v>
      </c>
      <c r="AO142" s="62">
        <f t="shared" si="144"/>
        <v>476.29465646955543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1.466055677401227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1.0498723237115892E-15</v>
      </c>
      <c r="AX142" s="23">
        <f t="shared" si="114"/>
        <v>1.4660556774012281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2">
        <f t="shared" si="140"/>
        <v>19.011403816272956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70">
        <f t="shared" si="110"/>
        <v>443.72869498000898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5.3205440053716299E-14</v>
      </c>
      <c r="P143" s="14">
        <f t="shared" si="141"/>
        <v>8.602146238565607E-13</v>
      </c>
      <c r="Q143" s="22">
        <f t="shared" si="108"/>
        <v>1.590873277977066E-12</v>
      </c>
      <c r="R143" s="62">
        <f t="shared" si="109"/>
        <v>293.33333333333491</v>
      </c>
      <c r="S143" s="62">
        <f ca="1">AVERAGE(OFFSET($R$3,0,0,'Données projet'!$E$9+1,1))-AVERAGE(OFFSET($H$3,0,0,'Données projet'!$E$9+1,1))</f>
        <v>173.76802753906867</v>
      </c>
      <c r="T143" s="62">
        <f t="shared" si="142"/>
        <v>153.4527010894717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-2.2737367544323206E-13</v>
      </c>
      <c r="AJ143" s="14">
        <f>AI143*VLOOKUP('Données projet'!$B$10,Paramètres!$A$1:$I$89,3,0)*VLOOKUP('Données projet'!$B$10,Paramètres!$A$1:$I$89,5,0)</f>
        <v>-1.2710188457276673E-13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382.55387448074327</v>
      </c>
      <c r="AO143" s="62">
        <f t="shared" si="144"/>
        <v>476.29465646955543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1.4373072197730568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7.423718394765429E-16</v>
      </c>
      <c r="AX143" s="23">
        <f t="shared" si="114"/>
        <v>1.4373072197730574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2">
        <f t="shared" si="140"/>
        <v>19.13134318440186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70">
        <f t="shared" si="110"/>
        <v>444.7753310461668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5.3205440053716299E-14</v>
      </c>
      <c r="P144" s="14">
        <f t="shared" si="141"/>
        <v>8.602146238565607E-13</v>
      </c>
      <c r="Q144" s="22">
        <f t="shared" si="108"/>
        <v>1.590873277977066E-12</v>
      </c>
      <c r="R144" s="62">
        <f t="shared" si="109"/>
        <v>293.33333333333491</v>
      </c>
      <c r="S144" s="62">
        <f ca="1">AVERAGE(OFFSET($R$3,0,0,'Données projet'!$E$9+1,1))-AVERAGE(OFFSET($H$3,0,0,'Données projet'!$E$9+1,1))</f>
        <v>173.76802753906867</v>
      </c>
      <c r="T144" s="62">
        <f t="shared" si="142"/>
        <v>153.4527010894717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-2.2737367544323206E-13</v>
      </c>
      <c r="AJ144" s="14">
        <f>AI144*VLOOKUP('Données projet'!$B$10,Paramètres!$A$1:$I$89,3,0)*VLOOKUP('Données projet'!$B$10,Paramètres!$A$1:$I$89,5,0)</f>
        <v>-1.2710188457276673E-13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382.55387448074327</v>
      </c>
      <c r="AO144" s="62">
        <f t="shared" si="144"/>
        <v>476.29465646955543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1.4091225018641471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5.249361618557946E-16</v>
      </c>
      <c r="AX144" s="23">
        <f t="shared" si="114"/>
        <v>1.4091225018641476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2">
        <f t="shared" si="140"/>
        <v>19.251183578735148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70">
        <f t="shared" si="110"/>
        <v>445.82179473296389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5.3205440053716299E-14</v>
      </c>
      <c r="P145" s="14">
        <f t="shared" si="141"/>
        <v>8.602146238565607E-13</v>
      </c>
      <c r="Q145" s="22">
        <f t="shared" si="108"/>
        <v>1.590873277977066E-12</v>
      </c>
      <c r="R145" s="62">
        <f t="shared" si="109"/>
        <v>293.33333333333491</v>
      </c>
      <c r="S145" s="62">
        <f ca="1">AVERAGE(OFFSET($R$3,0,0,'Données projet'!$E$9+1,1))-AVERAGE(OFFSET($H$3,0,0,'Données projet'!$E$9+1,1))</f>
        <v>173.76802753906867</v>
      </c>
      <c r="T145" s="62">
        <f t="shared" si="142"/>
        <v>153.4527010894717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-2.2737367544323206E-13</v>
      </c>
      <c r="AJ145" s="14">
        <f>AI145*VLOOKUP('Données projet'!$B$10,Paramètres!$A$1:$I$89,3,0)*VLOOKUP('Données projet'!$B$10,Paramètres!$A$1:$I$89,5,0)</f>
        <v>-1.2710188457276673E-13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382.55387448074327</v>
      </c>
      <c r="AO145" s="62">
        <f t="shared" si="144"/>
        <v>476.29465646955543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1.3814904690824508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3.7118591973827145E-16</v>
      </c>
      <c r="AX145" s="23">
        <f t="shared" si="114"/>
        <v>1.3814904690824512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2">
        <f t="shared" si="140"/>
        <v>19.370925777096051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70">
        <f t="shared" si="110"/>
        <v>446.86808739510911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5.3205440053716299E-14</v>
      </c>
      <c r="P146" s="14">
        <f t="shared" si="141"/>
        <v>8.602146238565607E-13</v>
      </c>
      <c r="Q146" s="22">
        <f t="shared" si="108"/>
        <v>1.590873277977066E-12</v>
      </c>
      <c r="R146" s="62">
        <f t="shared" si="109"/>
        <v>293.33333333333491</v>
      </c>
      <c r="S146" s="62">
        <f ca="1">AVERAGE(OFFSET($R$3,0,0,'Données projet'!$E$9+1,1))-AVERAGE(OFFSET($H$3,0,0,'Données projet'!$E$9+1,1))</f>
        <v>173.76802753906867</v>
      </c>
      <c r="T146" s="62">
        <f t="shared" si="142"/>
        <v>153.4527010894717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-2.2737367544323206E-13</v>
      </c>
      <c r="AJ146" s="14">
        <f>AI146*VLOOKUP('Données projet'!$B$10,Paramètres!$A$1:$I$89,3,0)*VLOOKUP('Données projet'!$B$10,Paramètres!$A$1:$I$89,5,0)</f>
        <v>-1.2710188457276673E-13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382.55387448074327</v>
      </c>
      <c r="AO146" s="62">
        <f t="shared" si="144"/>
        <v>476.29465646955543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1.3544002836097278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2.624680809278973E-16</v>
      </c>
      <c r="AX146" s="23">
        <f t="shared" si="114"/>
        <v>1.354400283609728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2">
        <f t="shared" si="140"/>
        <v>19.49057054580048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70">
        <f t="shared" si="110"/>
        <v>447.91421036726933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5.3205440053716299E-14</v>
      </c>
      <c r="P147" s="14">
        <f t="shared" si="141"/>
        <v>8.602146238565607E-13</v>
      </c>
      <c r="Q147" s="22">
        <f t="shared" si="108"/>
        <v>1.590873277977066E-12</v>
      </c>
      <c r="R147" s="62">
        <f t="shared" si="109"/>
        <v>293.33333333333491</v>
      </c>
      <c r="S147" s="62">
        <f ca="1">AVERAGE(OFFSET($R$3,0,0,'Données projet'!$E$9+1,1))-AVERAGE(OFFSET($H$3,0,0,'Données projet'!$E$9+1,1))</f>
        <v>173.76802753906867</v>
      </c>
      <c r="T147" s="62">
        <f t="shared" si="142"/>
        <v>153.4527010894717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-2.2737367544323206E-13</v>
      </c>
      <c r="AJ147" s="14">
        <f>AI147*VLOOKUP('Données projet'!$B$10,Paramètres!$A$1:$I$89,3,0)*VLOOKUP('Données projet'!$B$10,Paramètres!$A$1:$I$89,5,0)</f>
        <v>-1.2710188457276673E-13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382.55387448074327</v>
      </c>
      <c r="AO147" s="62">
        <f t="shared" si="144"/>
        <v>476.29465646955543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1.3278413201507431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1.8559295986913573E-16</v>
      </c>
      <c r="AX147" s="23">
        <f t="shared" si="114"/>
        <v>1.3278413201507433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2">
        <f t="shared" si="140"/>
        <v>19.610118639905842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70">
        <f t="shared" si="110"/>
        <v>448.96016496450284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5.3205440053716299E-14</v>
      </c>
      <c r="P148" s="14">
        <f t="shared" si="141"/>
        <v>8.602146238565607E-13</v>
      </c>
      <c r="Q148" s="22">
        <f t="shared" si="108"/>
        <v>1.590873277977066E-12</v>
      </c>
      <c r="R148" s="62">
        <f t="shared" si="109"/>
        <v>293.33333333333491</v>
      </c>
      <c r="S148" s="62">
        <f ca="1">AVERAGE(OFFSET($R$3,0,0,'Données projet'!$E$9+1,1))-AVERAGE(OFFSET($H$3,0,0,'Données projet'!$E$9+1,1))</f>
        <v>173.76802753906867</v>
      </c>
      <c r="T148" s="62">
        <f t="shared" si="142"/>
        <v>153.4527010894717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-2.2737367544323206E-13</v>
      </c>
      <c r="AJ148" s="14">
        <f>AI148*VLOOKUP('Données projet'!$B$10,Paramètres!$A$1:$I$89,3,0)*VLOOKUP('Données projet'!$B$10,Paramètres!$A$1:$I$89,5,0)</f>
        <v>-1.2710188457276673E-13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382.55387448074327</v>
      </c>
      <c r="AO148" s="62">
        <f t="shared" si="144"/>
        <v>476.29465646955543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1.301803161765821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1.3123404046394865E-16</v>
      </c>
      <c r="AX148" s="23">
        <f t="shared" si="114"/>
        <v>1.3018031617658212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2">
        <f t="shared" si="140"/>
        <v>19.729570803453061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70">
        <f t="shared" si="110"/>
        <v>450.00595248268087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5.3205440053716299E-14</v>
      </c>
      <c r="P149" s="14">
        <f t="shared" si="141"/>
        <v>8.602146238565607E-13</v>
      </c>
      <c r="Q149" s="22">
        <f t="shared" si="108"/>
        <v>1.590873277977066E-12</v>
      </c>
      <c r="R149" s="62">
        <f t="shared" si="109"/>
        <v>293.33333333333491</v>
      </c>
      <c r="S149" s="62">
        <f ca="1">AVERAGE(OFFSET($R$3,0,0,'Données projet'!$E$9+1,1))-AVERAGE(OFFSET($H$3,0,0,'Données projet'!$E$9+1,1))</f>
        <v>173.76802753906867</v>
      </c>
      <c r="T149" s="62">
        <f t="shared" si="142"/>
        <v>153.4527010894717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-2.2737367544323206E-13</v>
      </c>
      <c r="AJ149" s="14">
        <f>AI149*VLOOKUP('Données projet'!$B$10,Paramètres!$A$1:$I$89,3,0)*VLOOKUP('Données projet'!$B$10,Paramètres!$A$1:$I$89,5,0)</f>
        <v>-1.2710188457276673E-13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382.55387448074327</v>
      </c>
      <c r="AO149" s="62">
        <f t="shared" si="144"/>
        <v>476.29465646955543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1.2762755957851188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9.2796479934567863E-17</v>
      </c>
      <c r="AX149" s="23">
        <f t="shared" si="114"/>
        <v>1.2762755957851188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2">
        <f t="shared" si="140"/>
        <v>19.848927769701536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70">
        <f t="shared" si="110"/>
        <v>451.05157419889701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5.3205440053716299E-14</v>
      </c>
      <c r="P150" s="14">
        <f t="shared" si="141"/>
        <v>8.602146238565607E-13</v>
      </c>
      <c r="Q150" s="22">
        <f t="shared" si="108"/>
        <v>1.590873277977066E-12</v>
      </c>
      <c r="R150" s="62">
        <f t="shared" si="109"/>
        <v>293.33333333333491</v>
      </c>
      <c r="S150" s="62">
        <f ca="1">AVERAGE(OFFSET($R$3,0,0,'Données projet'!$E$9+1,1))-AVERAGE(OFFSET($H$3,0,0,'Données projet'!$E$9+1,1))</f>
        <v>173.76802753906867</v>
      </c>
      <c r="T150" s="62">
        <f t="shared" si="142"/>
        <v>153.4527010894717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-2.2737367544323206E-13</v>
      </c>
      <c r="AJ150" s="14">
        <f>AI150*VLOOKUP('Données projet'!$B$10,Paramètres!$A$1:$I$89,3,0)*VLOOKUP('Données projet'!$B$10,Paramètres!$A$1:$I$89,5,0)</f>
        <v>-1.2710188457276673E-13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382.55387448074327</v>
      </c>
      <c r="AO150" s="62">
        <f t="shared" si="144"/>
        <v>476.29465646955543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1.2512486098030204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6.5617020231974325E-17</v>
      </c>
      <c r="AX150" s="23">
        <f t="shared" si="114"/>
        <v>1.2512486098030204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2">
        <f t="shared" si="140"/>
        <v>19.968190261357677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70">
        <f t="shared" si="110"/>
        <v>452.09703137186477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5.3205440053716299E-14</v>
      </c>
      <c r="P151" s="14">
        <f t="shared" si="141"/>
        <v>8.602146238565607E-13</v>
      </c>
      <c r="Q151" s="22">
        <f t="shared" si="108"/>
        <v>1.590873277977066E-12</v>
      </c>
      <c r="R151" s="62">
        <f t="shared" si="109"/>
        <v>293.33333333333491</v>
      </c>
      <c r="S151" s="62">
        <f ca="1">AVERAGE(OFFSET($R$3,0,0,'Données projet'!$E$9+1,1))-AVERAGE(OFFSET($H$3,0,0,'Données projet'!$E$9+1,1))</f>
        <v>173.76802753906867</v>
      </c>
      <c r="T151" s="62">
        <f t="shared" si="142"/>
        <v>153.4527010894717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-2.2737367544323206E-13</v>
      </c>
      <c r="AJ151" s="14">
        <f>AI151*VLOOKUP('Données projet'!$B$10,Paramètres!$A$1:$I$89,3,0)*VLOOKUP('Données projet'!$B$10,Paramètres!$A$1:$I$89,5,0)</f>
        <v>-1.2710188457276673E-13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382.55387448074327</v>
      </c>
      <c r="AO151" s="62">
        <f t="shared" si="144"/>
        <v>476.29465646955543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1.2267123877510768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4.6398239967283931E-17</v>
      </c>
      <c r="AX151" s="23">
        <f t="shared" si="114"/>
        <v>1.2267123877510768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2">
        <f t="shared" si="140"/>
        <v>20.087358990796993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70">
        <f t="shared" si="110"/>
        <v>453.14232524230488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5.3205440053716299E-14</v>
      </c>
      <c r="P152" s="14">
        <f t="shared" si="141"/>
        <v>8.602146238565607E-13</v>
      </c>
      <c r="Q152" s="22">
        <f t="shared" si="108"/>
        <v>1.590873277977066E-12</v>
      </c>
      <c r="R152" s="62">
        <f t="shared" si="109"/>
        <v>293.33333333333491</v>
      </c>
      <c r="S152" s="62">
        <f ca="1">AVERAGE(OFFSET($R$3,0,0,'Données projet'!$E$9+1,1))-AVERAGE(OFFSET($H$3,0,0,'Données projet'!$E$9+1,1))</f>
        <v>173.76802753906867</v>
      </c>
      <c r="T152" s="62">
        <f t="shared" si="142"/>
        <v>153.4527010894717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-2.2737367544323206E-13</v>
      </c>
      <c r="AJ152" s="14">
        <f>AI152*VLOOKUP('Données projet'!$B$10,Paramètres!$A$1:$I$89,3,0)*VLOOKUP('Données projet'!$B$10,Paramètres!$A$1:$I$89,5,0)</f>
        <v>-1.2710188457276673E-13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382.55387448074327</v>
      </c>
      <c r="AO152" s="62">
        <f t="shared" si="144"/>
        <v>476.29465646955543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1.2026573060479542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3.2808510115987162E-17</v>
      </c>
      <c r="AX152" s="23">
        <f t="shared" si="114"/>
        <v>1.2026573060479542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2">
        <f t="shared" si="140"/>
        <v>20.206434660280181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70">
        <f t="shared" si="110"/>
        <v>454.18745703332144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5.3205440053716299E-14</v>
      </c>
      <c r="P153" s="14">
        <f t="shared" si="141"/>
        <v>8.602146238565607E-13</v>
      </c>
      <c r="Q153" s="22">
        <f t="shared" si="108"/>
        <v>1.590873277977066E-12</v>
      </c>
      <c r="R153" s="62">
        <f t="shared" si="109"/>
        <v>293.33333333333491</v>
      </c>
      <c r="S153" s="62">
        <f ca="1">AVERAGE(OFFSET($R$3,0,0,'Données projet'!$E$9+1,1))-AVERAGE(OFFSET($H$3,0,0,'Données projet'!$E$9+1,1))</f>
        <v>173.76802753906867</v>
      </c>
      <c r="T153" s="62">
        <f t="shared" si="142"/>
        <v>153.4527010894717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-2.2737367544323206E-13</v>
      </c>
      <c r="AJ153" s="14">
        <f>AI153*VLOOKUP('Données projet'!$B$10,Paramètres!$A$1:$I$89,3,0)*VLOOKUP('Données projet'!$B$10,Paramètres!$A$1:$I$89,5,0)</f>
        <v>-1.2710188457276673E-13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382.55387448074327</v>
      </c>
      <c r="AO153" s="62">
        <f t="shared" si="144"/>
        <v>476.29465646955543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1.1790739298248787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2.3199119983641966E-17</v>
      </c>
      <c r="AX153" s="23">
        <f t="shared" si="114"/>
        <v>1.1790739298248787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2">
        <f t="shared" si="140"/>
        <v>20.325417962163076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70">
        <f t="shared" si="110"/>
        <v>455.23242795076749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5.3205440053716299E-14</v>
      </c>
      <c r="P154" s="14">
        <f t="shared" si="141"/>
        <v>8.602146238565607E-13</v>
      </c>
      <c r="Q154" s="22">
        <f t="shared" ref="Q154:Q203" si="162">(O154+P154)*0.475*44/12</f>
        <v>1.590873277977066E-12</v>
      </c>
      <c r="R154" s="62">
        <f t="shared" si="109"/>
        <v>293.33333333333491</v>
      </c>
      <c r="S154" s="62">
        <f ca="1">AVERAGE(OFFSET($R$3,0,0,'Données projet'!$E$9+1,1))-AVERAGE(OFFSET($H$3,0,0,'Données projet'!$E$9+1,1))</f>
        <v>173.76802753906867</v>
      </c>
      <c r="T154" s="62">
        <f t="shared" si="142"/>
        <v>153.4527010894717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-2.2737367544323206E-13</v>
      </c>
      <c r="AJ154" s="14">
        <f>AI154*VLOOKUP('Données projet'!$B$10,Paramètres!$A$1:$I$89,3,0)*VLOOKUP('Données projet'!$B$10,Paramètres!$A$1:$I$89,5,0)</f>
        <v>-1.2710188457276673E-13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382.55387448074327</v>
      </c>
      <c r="AO154" s="62">
        <f t="shared" si="144"/>
        <v>476.29465646955543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1.1559530092250985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1.6404255057993581E-17</v>
      </c>
      <c r="AX154" s="23">
        <f t="shared" ref="AX154:AX203" si="166">SUM(AU154:AW154)</f>
        <v>1.1559530092250985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2">
        <f t="shared" si="140"/>
        <v>20.444309579101091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70">
        <f t="shared" si="110"/>
        <v>456.27723918360118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5.3205440053716299E-14</v>
      </c>
      <c r="P155" s="14">
        <f t="shared" si="141"/>
        <v>8.602146238565607E-13</v>
      </c>
      <c r="Q155" s="22">
        <f t="shared" si="162"/>
        <v>1.590873277977066E-12</v>
      </c>
      <c r="R155" s="62">
        <f t="shared" si="109"/>
        <v>293.33333333333491</v>
      </c>
      <c r="S155" s="62">
        <f ca="1">AVERAGE(OFFSET($R$3,0,0,'Données projet'!$E$9+1,1))-AVERAGE(OFFSET($H$3,0,0,'Données projet'!$E$9+1,1))</f>
        <v>173.76802753906867</v>
      </c>
      <c r="T155" s="62">
        <f t="shared" si="142"/>
        <v>153.4527010894717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-2.2737367544323206E-13</v>
      </c>
      <c r="AJ155" s="14">
        <f>AI155*VLOOKUP('Données projet'!$B$10,Paramètres!$A$1:$I$89,3,0)*VLOOKUP('Données projet'!$B$10,Paramètres!$A$1:$I$89,5,0)</f>
        <v>-1.2710188457276673E-13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382.55387448074327</v>
      </c>
      <c r="AO155" s="62">
        <f t="shared" si="144"/>
        <v>476.29465646955543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1.1332854757759108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1.1599559991820983E-17</v>
      </c>
      <c r="AX155" s="23">
        <f t="shared" si="166"/>
        <v>1.1332854757759108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2">
        <f t="shared" si="140"/>
        <v>20.563110184247964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70">
        <f t="shared" si="110"/>
        <v>457.32189190423196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5.3205440053716299E-14</v>
      </c>
      <c r="P156" s="14">
        <f t="shared" si="141"/>
        <v>8.602146238565607E-13</v>
      </c>
      <c r="Q156" s="22">
        <f t="shared" si="162"/>
        <v>1.590873277977066E-12</v>
      </c>
      <c r="R156" s="62">
        <f t="shared" si="109"/>
        <v>293.33333333333491</v>
      </c>
      <c r="S156" s="62">
        <f ca="1">AVERAGE(OFFSET($R$3,0,0,'Données projet'!$E$9+1,1))-AVERAGE(OFFSET($H$3,0,0,'Données projet'!$E$9+1,1))</f>
        <v>173.76802753906867</v>
      </c>
      <c r="T156" s="62">
        <f t="shared" si="142"/>
        <v>153.4527010894717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-2.2737367544323206E-13</v>
      </c>
      <c r="AJ156" s="14">
        <f>AI156*VLOOKUP('Données projet'!$B$10,Paramètres!$A$1:$I$89,3,0)*VLOOKUP('Données projet'!$B$10,Paramètres!$A$1:$I$89,5,0)</f>
        <v>-1.2710188457276673E-13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382.55387448074327</v>
      </c>
      <c r="AO156" s="62">
        <f t="shared" si="144"/>
        <v>476.29465646955543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1.1110624388318315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8.2021275289967906E-18</v>
      </c>
      <c r="AX156" s="23">
        <f t="shared" si="166"/>
        <v>1.1110624388318315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2">
        <f t="shared" si="140"/>
        <v>20.681820441449297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70">
        <f t="shared" si="110"/>
        <v>458.36638726885758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5.3205440053716299E-14</v>
      </c>
      <c r="P157" s="14">
        <f t="shared" si="141"/>
        <v>8.602146238565607E-13</v>
      </c>
      <c r="Q157" s="22">
        <f t="shared" si="162"/>
        <v>1.590873277977066E-12</v>
      </c>
      <c r="R157" s="62">
        <f t="shared" si="109"/>
        <v>293.33333333333491</v>
      </c>
      <c r="S157" s="62">
        <f ca="1">AVERAGE(OFFSET($R$3,0,0,'Données projet'!$E$9+1,1))-AVERAGE(OFFSET($H$3,0,0,'Données projet'!$E$9+1,1))</f>
        <v>173.76802753906867</v>
      </c>
      <c r="T157" s="62">
        <f t="shared" si="142"/>
        <v>153.4527010894717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-2.2737367544323206E-13</v>
      </c>
      <c r="AJ157" s="14">
        <f>AI157*VLOOKUP('Données projet'!$B$10,Paramètres!$A$1:$I$89,3,0)*VLOOKUP('Données projet'!$B$10,Paramètres!$A$1:$I$89,5,0)</f>
        <v>-1.2710188457276673E-13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382.55387448074327</v>
      </c>
      <c r="AO157" s="62">
        <f t="shared" si="144"/>
        <v>476.29465646955543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1.0892751820875115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5.7997799959104914E-18</v>
      </c>
      <c r="AX157" s="23">
        <f t="shared" si="166"/>
        <v>1.0892751820875115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2">
        <f t="shared" si="140"/>
        <v>20.800441005430773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70">
        <f t="shared" si="110"/>
        <v>459.41072641779198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5.3205440053716299E-14</v>
      </c>
      <c r="P158" s="14">
        <f t="shared" si="141"/>
        <v>8.602146238565607E-13</v>
      </c>
      <c r="Q158" s="22">
        <f t="shared" si="162"/>
        <v>1.590873277977066E-12</v>
      </c>
      <c r="R158" s="62">
        <f t="shared" si="109"/>
        <v>293.33333333333491</v>
      </c>
      <c r="S158" s="62">
        <f ca="1">AVERAGE(OFFSET($R$3,0,0,'Données projet'!$E$9+1,1))-AVERAGE(OFFSET($H$3,0,0,'Données projet'!$E$9+1,1))</f>
        <v>173.76802753906867</v>
      </c>
      <c r="T158" s="62">
        <f t="shared" si="142"/>
        <v>153.4527010894717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-2.2737367544323206E-13</v>
      </c>
      <c r="AJ158" s="14">
        <f>AI158*VLOOKUP('Données projet'!$B$10,Paramètres!$A$1:$I$89,3,0)*VLOOKUP('Données projet'!$B$10,Paramètres!$A$1:$I$89,5,0)</f>
        <v>-1.2710188457276673E-13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382.55387448074327</v>
      </c>
      <c r="AO158" s="62">
        <f t="shared" si="144"/>
        <v>476.29465646955543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1.0679151601590331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4.1010637644983953E-18</v>
      </c>
      <c r="AX158" s="23">
        <f t="shared" si="166"/>
        <v>1.0679151601590331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2">
        <f t="shared" si="140"/>
        <v>20.918972521981534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70">
        <f t="shared" si="110"/>
        <v>460.45491047578457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5.3205440053716299E-14</v>
      </c>
      <c r="P159" s="14">
        <f t="shared" si="141"/>
        <v>8.602146238565607E-13</v>
      </c>
      <c r="Q159" s="22">
        <f t="shared" si="162"/>
        <v>1.590873277977066E-12</v>
      </c>
      <c r="R159" s="62">
        <f t="shared" si="109"/>
        <v>293.33333333333491</v>
      </c>
      <c r="S159" s="62">
        <f ca="1">AVERAGE(OFFSET($R$3,0,0,'Données projet'!$E$9+1,1))-AVERAGE(OFFSET($H$3,0,0,'Données projet'!$E$9+1,1))</f>
        <v>173.76802753906867</v>
      </c>
      <c r="T159" s="62">
        <f t="shared" si="142"/>
        <v>153.4527010894717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-2.2737367544323206E-13</v>
      </c>
      <c r="AJ159" s="14">
        <f>AI159*VLOOKUP('Données projet'!$B$10,Paramètres!$A$1:$I$89,3,0)*VLOOKUP('Données projet'!$B$10,Paramètres!$A$1:$I$89,5,0)</f>
        <v>-1.2710188457276673E-13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382.55387448074327</v>
      </c>
      <c r="AO159" s="62">
        <f t="shared" si="144"/>
        <v>476.29465646955543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1.0469739952322452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2.8998899979552457E-18</v>
      </c>
      <c r="AX159" s="23">
        <f t="shared" si="166"/>
        <v>1.0469739952322452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2">
        <f t="shared" si="140"/>
        <v>21.037415628132592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70">
        <f t="shared" si="110"/>
        <v>461.49894055233096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5.3205440053716299E-14</v>
      </c>
      <c r="P160" s="14">
        <f t="shared" si="141"/>
        <v>8.602146238565607E-13</v>
      </c>
      <c r="Q160" s="22">
        <f t="shared" si="162"/>
        <v>1.590873277977066E-12</v>
      </c>
      <c r="R160" s="62">
        <f t="shared" si="109"/>
        <v>293.33333333333491</v>
      </c>
      <c r="S160" s="62">
        <f ca="1">AVERAGE(OFFSET($R$3,0,0,'Données projet'!$E$9+1,1))-AVERAGE(OFFSET($H$3,0,0,'Données projet'!$E$9+1,1))</f>
        <v>173.76802753906867</v>
      </c>
      <c r="T160" s="62">
        <f t="shared" si="142"/>
        <v>153.4527010894717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-2.2737367544323206E-13</v>
      </c>
      <c r="AJ160" s="14">
        <f>AI160*VLOOKUP('Données projet'!$B$10,Paramètres!$A$1:$I$89,3,0)*VLOOKUP('Données projet'!$B$10,Paramètres!$A$1:$I$89,5,0)</f>
        <v>-1.2710188457276673E-13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382.55387448074327</v>
      </c>
      <c r="AO160" s="62">
        <f t="shared" si="144"/>
        <v>476.29465646955543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1.0264434737768224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2.0505318822491976E-18</v>
      </c>
      <c r="AX160" s="23">
        <f t="shared" si="166"/>
        <v>1.0264434737768224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2">
        <f t="shared" si="140"/>
        <v>21.155770952330599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70">
        <f t="shared" si="110"/>
        <v>462.5428177419758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5.3205440053716299E-14</v>
      </c>
      <c r="P161" s="14">
        <f t="shared" si="141"/>
        <v>8.602146238565607E-13</v>
      </c>
      <c r="Q161" s="22">
        <f t="shared" si="162"/>
        <v>1.590873277977066E-12</v>
      </c>
      <c r="R161" s="62">
        <f t="shared" si="109"/>
        <v>293.33333333333491</v>
      </c>
      <c r="S161" s="62">
        <f ca="1">AVERAGE(OFFSET($R$3,0,0,'Données projet'!$E$9+1,1))-AVERAGE(OFFSET($H$3,0,0,'Données projet'!$E$9+1,1))</f>
        <v>173.76802753906867</v>
      </c>
      <c r="T161" s="62">
        <f t="shared" si="142"/>
        <v>153.4527010894717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-2.2737367544323206E-13</v>
      </c>
      <c r="AJ161" s="14">
        <f>AI161*VLOOKUP('Données projet'!$B$10,Paramètres!$A$1:$I$89,3,0)*VLOOKUP('Données projet'!$B$10,Paramètres!$A$1:$I$89,5,0)</f>
        <v>-1.2710188457276673E-13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382.55387448074327</v>
      </c>
      <c r="AO161" s="62">
        <f t="shared" si="144"/>
        <v>476.29465646955543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1.0063155433247588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1.4499449989776229E-18</v>
      </c>
      <c r="AX161" s="23">
        <f t="shared" si="166"/>
        <v>1.0063155433247588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2">
        <f t="shared" si="140"/>
        <v>21.274039114607188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70">
        <f t="shared" si="110"/>
        <v>463.58654312460754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5.3205440053716299E-14</v>
      </c>
      <c r="P162" s="14">
        <f t="shared" si="141"/>
        <v>8.602146238565607E-13</v>
      </c>
      <c r="Q162" s="22">
        <f t="shared" si="162"/>
        <v>1.590873277977066E-12</v>
      </c>
      <c r="R162" s="62">
        <f t="shared" si="109"/>
        <v>293.33333333333491</v>
      </c>
      <c r="S162" s="62">
        <f ca="1">AVERAGE(OFFSET($R$3,0,0,'Données projet'!$E$9+1,1))-AVERAGE(OFFSET($H$3,0,0,'Données projet'!$E$9+1,1))</f>
        <v>173.76802753906867</v>
      </c>
      <c r="T162" s="62">
        <f t="shared" si="142"/>
        <v>153.4527010894717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-2.2737367544323206E-13</v>
      </c>
      <c r="AJ162" s="14">
        <f>AI162*VLOOKUP('Données projet'!$B$10,Paramètres!$A$1:$I$89,3,0)*VLOOKUP('Données projet'!$B$10,Paramètres!$A$1:$I$89,5,0)</f>
        <v>-1.2710188457276673E-13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382.55387448074327</v>
      </c>
      <c r="AO162" s="62">
        <f t="shared" si="144"/>
        <v>476.29465646955543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0.98658230931203483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1.0252659411245988E-18</v>
      </c>
      <c r="AX162" s="23">
        <f t="shared" si="166"/>
        <v>0.98658230931203483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2">
        <f t="shared" si="140"/>
        <v>21.392220726743776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70">
        <f t="shared" si="110"/>
        <v>464.63011776574541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5.3205440053716299E-14</v>
      </c>
      <c r="P163" s="14">
        <f t="shared" si="141"/>
        <v>8.602146238565607E-13</v>
      </c>
      <c r="Q163" s="22">
        <f t="shared" si="162"/>
        <v>1.590873277977066E-12</v>
      </c>
      <c r="R163" s="62">
        <f t="shared" si="109"/>
        <v>293.33333333333491</v>
      </c>
      <c r="S163" s="62">
        <f ca="1">AVERAGE(OFFSET($R$3,0,0,'Données projet'!$E$9+1,1))-AVERAGE(OFFSET($H$3,0,0,'Données projet'!$E$9+1,1))</f>
        <v>173.76802753906867</v>
      </c>
      <c r="T163" s="62">
        <f t="shared" si="142"/>
        <v>153.4527010894717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-2.2737367544323206E-13</v>
      </c>
      <c r="AJ163" s="14">
        <f>AI163*VLOOKUP('Données projet'!$B$10,Paramètres!$A$1:$I$89,3,0)*VLOOKUP('Données projet'!$B$10,Paramètres!$A$1:$I$89,5,0)</f>
        <v>-1.2710188457276673E-13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382.55387448074327</v>
      </c>
      <c r="AO163" s="62">
        <f t="shared" si="144"/>
        <v>476.29465646955543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0.96723603198221608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7.2497249948881143E-19</v>
      </c>
      <c r="AX163" s="23">
        <f t="shared" si="166"/>
        <v>0.96723603198221608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2">
        <f t="shared" si="140"/>
        <v>21.51031639243222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70">
        <f t="shared" si="110"/>
        <v>465.67354271681944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5.3205440053716299E-14</v>
      </c>
      <c r="P164" s="14">
        <f t="shared" si="141"/>
        <v>8.602146238565607E-13</v>
      </c>
      <c r="Q164" s="22">
        <f t="shared" si="162"/>
        <v>1.590873277977066E-12</v>
      </c>
      <c r="R164" s="62">
        <f t="shared" si="109"/>
        <v>293.33333333333491</v>
      </c>
      <c r="S164" s="62">
        <f ca="1">AVERAGE(OFFSET($R$3,0,0,'Données projet'!$E$9+1,1))-AVERAGE(OFFSET($H$3,0,0,'Données projet'!$E$9+1,1))</f>
        <v>173.76802753906867</v>
      </c>
      <c r="T164" s="62">
        <f t="shared" si="142"/>
        <v>153.4527010894717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-2.2737367544323206E-13</v>
      </c>
      <c r="AJ164" s="14">
        <f>AI164*VLOOKUP('Données projet'!$B$10,Paramètres!$A$1:$I$89,3,0)*VLOOKUP('Données projet'!$B$10,Paramètres!$A$1:$I$89,5,0)</f>
        <v>-1.2710188457276673E-13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382.55387448074327</v>
      </c>
      <c r="AO164" s="62">
        <f t="shared" si="144"/>
        <v>476.29465646955543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0.94826912335077107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5.1263297056229941E-19</v>
      </c>
      <c r="AX164" s="23">
        <f t="shared" si="166"/>
        <v>0.94826912335077107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2">
        <f t="shared" si="140"/>
        <v>21.628326707431373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70">
        <f t="shared" si="110"/>
        <v>466.71681901544298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5.3205440053716299E-14</v>
      </c>
      <c r="P165" s="14">
        <f t="shared" si="141"/>
        <v>8.602146238565607E-13</v>
      </c>
      <c r="Q165" s="22">
        <f t="shared" si="162"/>
        <v>1.590873277977066E-12</v>
      </c>
      <c r="R165" s="62">
        <f t="shared" si="109"/>
        <v>293.33333333333491</v>
      </c>
      <c r="S165" s="62">
        <f ca="1">AVERAGE(OFFSET($R$3,0,0,'Données projet'!$E$9+1,1))-AVERAGE(OFFSET($H$3,0,0,'Données projet'!$E$9+1,1))</f>
        <v>173.76802753906867</v>
      </c>
      <c r="T165" s="62">
        <f t="shared" si="142"/>
        <v>153.4527010894717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-2.2737367544323206E-13</v>
      </c>
      <c r="AJ165" s="14">
        <f>AI165*VLOOKUP('Données projet'!$B$10,Paramètres!$A$1:$I$89,3,0)*VLOOKUP('Données projet'!$B$10,Paramètres!$A$1:$I$89,5,0)</f>
        <v>-1.2710188457276673E-13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382.55387448074327</v>
      </c>
      <c r="AO165" s="62">
        <f t="shared" si="144"/>
        <v>476.29465646955543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0.9296741442289167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3.6248624974440571E-19</v>
      </c>
      <c r="AX165" s="23">
        <f t="shared" si="166"/>
        <v>0.9296741442289167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2">
        <f t="shared" si="140"/>
        <v>21.74625225971964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70">
        <f t="shared" si="110"/>
        <v>467.75994768567836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5.3205440053716299E-14</v>
      </c>
      <c r="P166" s="14">
        <f t="shared" si="141"/>
        <v>8.602146238565607E-13</v>
      </c>
      <c r="Q166" s="22">
        <f t="shared" si="162"/>
        <v>1.590873277977066E-12</v>
      </c>
      <c r="R166" s="62">
        <f t="shared" si="109"/>
        <v>293.33333333333491</v>
      </c>
      <c r="S166" s="62">
        <f ca="1">AVERAGE(OFFSET($R$3,0,0,'Données projet'!$E$9+1,1))-AVERAGE(OFFSET($H$3,0,0,'Données projet'!$E$9+1,1))</f>
        <v>173.76802753906867</v>
      </c>
      <c r="T166" s="62">
        <f t="shared" si="142"/>
        <v>153.4527010894717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-2.2737367544323206E-13</v>
      </c>
      <c r="AJ166" s="14">
        <f>AI166*VLOOKUP('Données projet'!$B$10,Paramètres!$A$1:$I$89,3,0)*VLOOKUP('Données projet'!$B$10,Paramètres!$A$1:$I$89,5,0)</f>
        <v>-1.2710188457276673E-13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382.55387448074327</v>
      </c>
      <c r="AO166" s="62">
        <f t="shared" si="144"/>
        <v>476.29465646955543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0.91144380130582459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2.5631648528114971E-19</v>
      </c>
      <c r="AX166" s="23">
        <f t="shared" si="166"/>
        <v>0.91144380130582459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2">
        <f t="shared" si="140"/>
        <v>21.864093629643623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70">
        <f t="shared" si="110"/>
        <v>468.80292973829592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5.3205440053716299E-14</v>
      </c>
      <c r="P167" s="14">
        <f t="shared" si="141"/>
        <v>8.602146238565607E-13</v>
      </c>
      <c r="Q167" s="22">
        <f t="shared" si="162"/>
        <v>1.590873277977066E-12</v>
      </c>
      <c r="R167" s="62">
        <f t="shared" si="109"/>
        <v>293.33333333333491</v>
      </c>
      <c r="S167" s="62">
        <f ca="1">AVERAGE(OFFSET($R$3,0,0,'Données projet'!$E$9+1,1))-AVERAGE(OFFSET($H$3,0,0,'Données projet'!$E$9+1,1))</f>
        <v>173.76802753906867</v>
      </c>
      <c r="T167" s="62">
        <f t="shared" si="142"/>
        <v>153.4527010894717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-2.2737367544323206E-13</v>
      </c>
      <c r="AJ167" s="14">
        <f>AI167*VLOOKUP('Données projet'!$B$10,Paramètres!$A$1:$I$89,3,0)*VLOOKUP('Données projet'!$B$10,Paramètres!$A$1:$I$89,5,0)</f>
        <v>-1.2710188457276673E-13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382.55387448074327</v>
      </c>
      <c r="AO167" s="62">
        <f t="shared" si="144"/>
        <v>476.29465646955543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0.89357094428804307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1.8124312487220286E-19</v>
      </c>
      <c r="AX167" s="23">
        <f t="shared" si="166"/>
        <v>0.89357094428804307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2">
        <f t="shared" si="140"/>
        <v>21.981851390063195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70">
        <f t="shared" si="110"/>
        <v>469.8457661710267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5.3205440053716299E-14</v>
      </c>
      <c r="P168" s="14">
        <f t="shared" si="141"/>
        <v>8.602146238565607E-13</v>
      </c>
      <c r="Q168" s="22">
        <f t="shared" si="162"/>
        <v>1.590873277977066E-12</v>
      </c>
      <c r="R168" s="62">
        <f t="shared" si="109"/>
        <v>293.33333333333491</v>
      </c>
      <c r="S168" s="62">
        <f ca="1">AVERAGE(OFFSET($R$3,0,0,'Données projet'!$E$9+1,1))-AVERAGE(OFFSET($H$3,0,0,'Données projet'!$E$9+1,1))</f>
        <v>173.76802753906867</v>
      </c>
      <c r="T168" s="62">
        <f t="shared" si="142"/>
        <v>153.4527010894717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-2.2737367544323206E-13</v>
      </c>
      <c r="AJ168" s="14">
        <f>AI168*VLOOKUP('Données projet'!$B$10,Paramètres!$A$1:$I$89,3,0)*VLOOKUP('Données projet'!$B$10,Paramètres!$A$1:$I$89,5,0)</f>
        <v>-1.2710188457276673E-13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382.55387448074327</v>
      </c>
      <c r="AO168" s="62">
        <f t="shared" si="144"/>
        <v>476.29465646955543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0.87604856309501389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1.2815824264057485E-19</v>
      </c>
      <c r="AX168" s="23">
        <f t="shared" si="166"/>
        <v>0.87604856309501389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2">
        <f t="shared" si="140"/>
        <v>22.099526106492764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70">
        <f t="shared" si="110"/>
        <v>470.88845796880821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5.3205440053716299E-14</v>
      </c>
      <c r="P169" s="14">
        <f t="shared" si="141"/>
        <v>8.602146238565607E-13</v>
      </c>
      <c r="Q169" s="22">
        <f t="shared" si="162"/>
        <v>1.590873277977066E-12</v>
      </c>
      <c r="R169" s="62">
        <f t="shared" si="109"/>
        <v>293.33333333333491</v>
      </c>
      <c r="S169" s="62">
        <f ca="1">AVERAGE(OFFSET($R$3,0,0,'Données projet'!$E$9+1,1))-AVERAGE(OFFSET($H$3,0,0,'Données projet'!$E$9+1,1))</f>
        <v>173.76802753906867</v>
      </c>
      <c r="T169" s="62">
        <f t="shared" si="142"/>
        <v>153.4527010894717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-2.2737367544323206E-13</v>
      </c>
      <c r="AJ169" s="14">
        <f>AI169*VLOOKUP('Données projet'!$B$10,Paramètres!$A$1:$I$89,3,0)*VLOOKUP('Données projet'!$B$10,Paramètres!$A$1:$I$89,5,0)</f>
        <v>-1.2710188457276673E-13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382.55387448074327</v>
      </c>
      <c r="AO169" s="62">
        <f t="shared" si="144"/>
        <v>476.29465646955543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0.85886978510958278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9.0621562436101428E-20</v>
      </c>
      <c r="AX169" s="23">
        <f t="shared" si="166"/>
        <v>0.85886978510958278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2">
        <f t="shared" si="140"/>
        <v>22.217118337239182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70">
        <f t="shared" si="110"/>
        <v>471.93100610402485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5.3205440053716299E-14</v>
      </c>
      <c r="P170" s="14">
        <f t="shared" si="141"/>
        <v>8.602146238565607E-13</v>
      </c>
      <c r="Q170" s="22">
        <f t="shared" si="162"/>
        <v>1.590873277977066E-12</v>
      </c>
      <c r="R170" s="62">
        <f t="shared" si="109"/>
        <v>293.33333333333491</v>
      </c>
      <c r="S170" s="62">
        <f ca="1">AVERAGE(OFFSET($R$3,0,0,'Données projet'!$E$9+1,1))-AVERAGE(OFFSET($H$3,0,0,'Données projet'!$E$9+1,1))</f>
        <v>173.76802753906867</v>
      </c>
      <c r="T170" s="62">
        <f t="shared" si="142"/>
        <v>153.4527010894717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-2.2737367544323206E-13</v>
      </c>
      <c r="AJ170" s="14">
        <f>AI170*VLOOKUP('Données projet'!$B$10,Paramètres!$A$1:$I$89,3,0)*VLOOKUP('Données projet'!$B$10,Paramètres!$A$1:$I$89,5,0)</f>
        <v>-1.2710188457276673E-13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382.55387448074327</v>
      </c>
      <c r="AO170" s="62">
        <f t="shared" si="144"/>
        <v>476.29465646955543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0.84202787248242605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6.4079121320287426E-20</v>
      </c>
      <c r="AX170" s="23">
        <f t="shared" si="166"/>
        <v>0.84202787248242605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2">
        <f t="shared" si="140"/>
        <v>22.334628633536209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70">
        <f t="shared" si="110"/>
        <v>472.97341153674216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5.3205440053716299E-14</v>
      </c>
      <c r="P171" s="14">
        <f t="shared" si="141"/>
        <v>8.602146238565607E-13</v>
      </c>
      <c r="Q171" s="22">
        <f t="shared" si="162"/>
        <v>1.590873277977066E-12</v>
      </c>
      <c r="R171" s="62">
        <f t="shared" si="109"/>
        <v>293.33333333333491</v>
      </c>
      <c r="S171" s="62">
        <f ca="1">AVERAGE(OFFSET($R$3,0,0,'Données projet'!$E$9+1,1))-AVERAGE(OFFSET($H$3,0,0,'Données projet'!$E$9+1,1))</f>
        <v>173.76802753906867</v>
      </c>
      <c r="T171" s="62">
        <f t="shared" si="142"/>
        <v>153.4527010894717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-2.2737367544323206E-13</v>
      </c>
      <c r="AJ171" s="14">
        <f>AI171*VLOOKUP('Données projet'!$B$10,Paramètres!$A$1:$I$89,3,0)*VLOOKUP('Données projet'!$B$10,Paramètres!$A$1:$I$89,5,0)</f>
        <v>-1.2710188457276673E-13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382.55387448074327</v>
      </c>
      <c r="AO171" s="62">
        <f t="shared" si="144"/>
        <v>476.29465646955543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0.82551621948933551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4.5310781218050714E-20</v>
      </c>
      <c r="AX171" s="23">
        <f t="shared" si="166"/>
        <v>0.82551621948933551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2">
        <f t="shared" si="140"/>
        <v>22.452057539675593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70">
        <f t="shared" si="110"/>
        <v>474.0156752149349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5.3205440053716299E-14</v>
      </c>
      <c r="P172" s="14">
        <f t="shared" si="141"/>
        <v>8.602146238565607E-13</v>
      </c>
      <c r="Q172" s="22">
        <f t="shared" si="162"/>
        <v>1.590873277977066E-12</v>
      </c>
      <c r="R172" s="62">
        <f t="shared" si="109"/>
        <v>293.33333333333491</v>
      </c>
      <c r="S172" s="62">
        <f ca="1">AVERAGE(OFFSET($R$3,0,0,'Données projet'!$E$9+1,1))-AVERAGE(OFFSET($H$3,0,0,'Données projet'!$E$9+1,1))</f>
        <v>173.76802753906867</v>
      </c>
      <c r="T172" s="62">
        <f t="shared" si="142"/>
        <v>153.4527010894717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-2.2737367544323206E-13</v>
      </c>
      <c r="AJ172" s="14">
        <f>AI172*VLOOKUP('Données projet'!$B$10,Paramètres!$A$1:$I$89,3,0)*VLOOKUP('Données projet'!$B$10,Paramètres!$A$1:$I$89,5,0)</f>
        <v>-1.2710188457276673E-13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382.55387448074327</v>
      </c>
      <c r="AO172" s="62">
        <f t="shared" si="144"/>
        <v>476.29465646955543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0.80932834994032554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3.2039560660143713E-20</v>
      </c>
      <c r="AX172" s="23">
        <f t="shared" si="166"/>
        <v>0.80932834994032554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2">
        <f t="shared" si="140"/>
        <v>22.569405593135201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70">
        <f t="shared" si="110"/>
        <v>475.05779807471038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5.3205440053716299E-14</v>
      </c>
      <c r="P173" s="14">
        <f t="shared" si="141"/>
        <v>8.602146238565607E-13</v>
      </c>
      <c r="Q173" s="22">
        <f t="shared" si="162"/>
        <v>1.590873277977066E-12</v>
      </c>
      <c r="R173" s="62">
        <f t="shared" si="109"/>
        <v>293.33333333333491</v>
      </c>
      <c r="S173" s="62">
        <f ca="1">AVERAGE(OFFSET($R$3,0,0,'Données projet'!$E$9+1,1))-AVERAGE(OFFSET($H$3,0,0,'Données projet'!$E$9+1,1))</f>
        <v>173.76802753906867</v>
      </c>
      <c r="T173" s="62">
        <f t="shared" si="142"/>
        <v>153.4527010894717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-2.2737367544323206E-13</v>
      </c>
      <c r="AJ173" s="14">
        <f>AI173*VLOOKUP('Données projet'!$B$10,Paramètres!$A$1:$I$89,3,0)*VLOOKUP('Données projet'!$B$10,Paramètres!$A$1:$I$89,5,0)</f>
        <v>-1.2710188457276673E-13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382.55387448074327</v>
      </c>
      <c r="AO173" s="62">
        <f t="shared" si="144"/>
        <v>476.29465646955543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0.79345791463954618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2.2655390609025357E-20</v>
      </c>
      <c r="AX173" s="23">
        <f t="shared" si="166"/>
        <v>0.79345791463954618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2">
        <f t="shared" si="140"/>
        <v>22.686673324703712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70">
        <f t="shared" si="110"/>
        <v>476.0997810405255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5.3205440053716299E-14</v>
      </c>
      <c r="P174" s="14">
        <f t="shared" si="141"/>
        <v>8.602146238565607E-13</v>
      </c>
      <c r="Q174" s="22">
        <f t="shared" si="162"/>
        <v>1.590873277977066E-12</v>
      </c>
      <c r="R174" s="62">
        <f t="shared" si="109"/>
        <v>293.33333333333491</v>
      </c>
      <c r="S174" s="62">
        <f ca="1">AVERAGE(OFFSET($R$3,0,0,'Données projet'!$E$9+1,1))-AVERAGE(OFFSET($H$3,0,0,'Données projet'!$E$9+1,1))</f>
        <v>173.76802753906867</v>
      </c>
      <c r="T174" s="62">
        <f t="shared" si="142"/>
        <v>153.4527010894717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-2.2737367544323206E-13</v>
      </c>
      <c r="AJ174" s="14">
        <f>AI174*VLOOKUP('Données projet'!$B$10,Paramètres!$A$1:$I$89,3,0)*VLOOKUP('Données projet'!$B$10,Paramètres!$A$1:$I$89,5,0)</f>
        <v>-1.2710188457276673E-13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382.55387448074327</v>
      </c>
      <c r="AO174" s="62">
        <f t="shared" si="144"/>
        <v>476.29465646955543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0.77789868889500535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1.6019780330071857E-20</v>
      </c>
      <c r="AX174" s="23">
        <f t="shared" si="166"/>
        <v>0.77789868889500535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2">
        <f t="shared" si="140"/>
        <v>22.803861258602598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70">
        <f t="shared" si="110"/>
        <v>477.14162502539943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5.3205440053716299E-14</v>
      </c>
      <c r="P175" s="14">
        <f t="shared" si="141"/>
        <v>8.602146238565607E-13</v>
      </c>
      <c r="Q175" s="22">
        <f t="shared" si="162"/>
        <v>1.590873277977066E-12</v>
      </c>
      <c r="R175" s="62">
        <f t="shared" si="109"/>
        <v>293.33333333333491</v>
      </c>
      <c r="S175" s="62">
        <f ca="1">AVERAGE(OFFSET($R$3,0,0,'Données projet'!$E$9+1,1))-AVERAGE(OFFSET($H$3,0,0,'Données projet'!$E$9+1,1))</f>
        <v>173.76802753906867</v>
      </c>
      <c r="T175" s="62">
        <f t="shared" si="142"/>
        <v>153.4527010894717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-2.2737367544323206E-13</v>
      </c>
      <c r="AJ175" s="14">
        <f>AI175*VLOOKUP('Données projet'!$B$10,Paramètres!$A$1:$I$89,3,0)*VLOOKUP('Données projet'!$B$10,Paramètres!$A$1:$I$89,5,0)</f>
        <v>-1.2710188457276673E-13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382.55387448074327</v>
      </c>
      <c r="AO175" s="62">
        <f t="shared" si="144"/>
        <v>476.29465646955543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0.76264457007712438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1.1327695304512679E-20</v>
      </c>
      <c r="AX175" s="23">
        <f t="shared" si="166"/>
        <v>0.76264457007712438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2">
        <f t="shared" si="140"/>
        <v>22.920969912605038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70">
        <f t="shared" si="110"/>
        <v>478.18333093112028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5.3205440053716299E-14</v>
      </c>
      <c r="P176" s="14">
        <f t="shared" si="141"/>
        <v>8.602146238565607E-13</v>
      </c>
      <c r="Q176" s="22">
        <f t="shared" si="162"/>
        <v>1.590873277977066E-12</v>
      </c>
      <c r="R176" s="62">
        <f t="shared" si="109"/>
        <v>293.33333333333491</v>
      </c>
      <c r="S176" s="62">
        <f ca="1">AVERAGE(OFFSET($R$3,0,0,'Données projet'!$E$9+1,1))-AVERAGE(OFFSET($H$3,0,0,'Données projet'!$E$9+1,1))</f>
        <v>173.76802753906867</v>
      </c>
      <c r="T176" s="62">
        <f t="shared" si="142"/>
        <v>153.4527010894717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-2.2737367544323206E-13</v>
      </c>
      <c r="AJ176" s="14">
        <f>AI176*VLOOKUP('Données projet'!$B$10,Paramètres!$A$1:$I$89,3,0)*VLOOKUP('Données projet'!$B$10,Paramètres!$A$1:$I$89,5,0)</f>
        <v>-1.2710188457276673E-13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382.55387448074327</v>
      </c>
      <c r="AO176" s="62">
        <f t="shared" si="144"/>
        <v>476.29465646955543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0.74768957522516832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8.0098901650359283E-21</v>
      </c>
      <c r="AX176" s="23">
        <f t="shared" si="166"/>
        <v>0.74768957522516832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2">
        <f t="shared" si="140"/>
        <v>23.037999798152033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70">
        <f t="shared" si="110"/>
        <v>479.224899648448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5.3205440053716299E-14</v>
      </c>
      <c r="P177" s="14">
        <f t="shared" si="141"/>
        <v>8.602146238565607E-13</v>
      </c>
      <c r="Q177" s="22">
        <f t="shared" si="162"/>
        <v>1.590873277977066E-12</v>
      </c>
      <c r="R177" s="62">
        <f t="shared" si="109"/>
        <v>293.33333333333491</v>
      </c>
      <c r="S177" s="62">
        <f ca="1">AVERAGE(OFFSET($R$3,0,0,'Données projet'!$E$9+1,1))-AVERAGE(OFFSET($H$3,0,0,'Données projet'!$E$9+1,1))</f>
        <v>173.76802753906867</v>
      </c>
      <c r="T177" s="62">
        <f t="shared" si="142"/>
        <v>153.4527010894717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-2.2737367544323206E-13</v>
      </c>
      <c r="AJ177" s="14">
        <f>AI177*VLOOKUP('Données projet'!$B$10,Paramètres!$A$1:$I$89,3,0)*VLOOKUP('Données projet'!$B$10,Paramètres!$A$1:$I$89,5,0)</f>
        <v>-1.2710188457276673E-13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382.55387448074327</v>
      </c>
      <c r="AO177" s="62">
        <f t="shared" si="144"/>
        <v>476.29465646955543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0.73302783870061294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5.6638476522563393E-21</v>
      </c>
      <c r="AX177" s="23">
        <f t="shared" si="166"/>
        <v>0.73302783870061294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2">
        <f t="shared" si="140"/>
        <v>23.154951420465835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70">
        <f t="shared" si="110"/>
        <v>480.26633205731122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5.3205440053716299E-14</v>
      </c>
      <c r="P178" s="14">
        <f t="shared" si="141"/>
        <v>8.602146238565607E-13</v>
      </c>
      <c r="Q178" s="22">
        <f t="shared" si="162"/>
        <v>1.590873277977066E-12</v>
      </c>
      <c r="R178" s="62">
        <f t="shared" si="109"/>
        <v>293.33333333333491</v>
      </c>
      <c r="S178" s="62">
        <f ca="1">AVERAGE(OFFSET($R$3,0,0,'Données projet'!$E$9+1,1))-AVERAGE(OFFSET($H$3,0,0,'Données projet'!$E$9+1,1))</f>
        <v>173.76802753906867</v>
      </c>
      <c r="T178" s="62">
        <f t="shared" si="142"/>
        <v>153.4527010894717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-2.2737367544323206E-13</v>
      </c>
      <c r="AJ178" s="14">
        <f>AI178*VLOOKUP('Données projet'!$B$10,Paramètres!$A$1:$I$89,3,0)*VLOOKUP('Données projet'!$B$10,Paramètres!$A$1:$I$89,5,0)</f>
        <v>-1.2710188457276673E-13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382.55387448074327</v>
      </c>
      <c r="AO178" s="62">
        <f t="shared" si="144"/>
        <v>476.29465646955543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0.71865360988652782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4.0049450825179641E-21</v>
      </c>
      <c r="AX178" s="23">
        <f t="shared" si="166"/>
        <v>0.71865360988652782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2">
        <f t="shared" si="140"/>
        <v>23.271825278660558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70">
        <f t="shared" si="110"/>
        <v>481.3076290270003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5.3205440053716299E-14</v>
      </c>
      <c r="P179" s="14">
        <f t="shared" si="141"/>
        <v>8.602146238565607E-13</v>
      </c>
      <c r="Q179" s="22">
        <f t="shared" si="162"/>
        <v>1.590873277977066E-12</v>
      </c>
      <c r="R179" s="62">
        <f t="shared" si="109"/>
        <v>293.33333333333491</v>
      </c>
      <c r="S179" s="62">
        <f ca="1">AVERAGE(OFFSET($R$3,0,0,'Données projet'!$E$9+1,1))-AVERAGE(OFFSET($H$3,0,0,'Données projet'!$E$9+1,1))</f>
        <v>173.76802753906867</v>
      </c>
      <c r="T179" s="62">
        <f t="shared" si="142"/>
        <v>153.4527010894717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-2.2737367544323206E-13</v>
      </c>
      <c r="AJ179" s="14">
        <f>AI179*VLOOKUP('Données projet'!$B$10,Paramètres!$A$1:$I$89,3,0)*VLOOKUP('Données projet'!$B$10,Paramètres!$A$1:$I$89,5,0)</f>
        <v>-1.2710188457276673E-13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382.55387448074327</v>
      </c>
      <c r="AO179" s="62">
        <f t="shared" si="144"/>
        <v>476.29465646955543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0.704561250932073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2.8319238261281696E-21</v>
      </c>
      <c r="AX179" s="23">
        <f t="shared" si="166"/>
        <v>0.704561250932073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2">
        <f t="shared" si="140"/>
        <v>23.388621865850421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70">
        <f t="shared" si="110"/>
        <v>482.34879141635599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5.3205440053716299E-14</v>
      </c>
      <c r="P180" s="14">
        <f t="shared" si="141"/>
        <v>8.602146238565607E-13</v>
      </c>
      <c r="Q180" s="22">
        <f t="shared" si="162"/>
        <v>1.590873277977066E-12</v>
      </c>
      <c r="R180" s="62">
        <f t="shared" si="109"/>
        <v>293.33333333333491</v>
      </c>
      <c r="S180" s="62">
        <f ca="1">AVERAGE(OFFSET($R$3,0,0,'Données projet'!$E$9+1,1))-AVERAGE(OFFSET($H$3,0,0,'Données projet'!$E$9+1,1))</f>
        <v>173.76802753906867</v>
      </c>
      <c r="T180" s="62">
        <f t="shared" si="142"/>
        <v>153.4527010894717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-2.2737367544323206E-13</v>
      </c>
      <c r="AJ180" s="14">
        <f>AI180*VLOOKUP('Données projet'!$B$10,Paramètres!$A$1:$I$89,3,0)*VLOOKUP('Données projet'!$B$10,Paramètres!$A$1:$I$89,5,0)</f>
        <v>-1.2710188457276673E-13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382.55387448074327</v>
      </c>
      <c r="AO180" s="62">
        <f t="shared" si="144"/>
        <v>476.29465646955543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0.69074523454122483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2.0024725412589821E-21</v>
      </c>
      <c r="AX180" s="23">
        <f t="shared" si="166"/>
        <v>0.69074523454122483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2">
        <f t="shared" si="140"/>
        <v>23.505341669255241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70">
        <f t="shared" si="110"/>
        <v>483.38982007395271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5.3205440053716299E-14</v>
      </c>
      <c r="P181" s="14">
        <f t="shared" si="141"/>
        <v>8.602146238565607E-13</v>
      </c>
      <c r="Q181" s="22">
        <f t="shared" si="162"/>
        <v>1.590873277977066E-12</v>
      </c>
      <c r="R181" s="62">
        <f t="shared" si="109"/>
        <v>293.33333333333491</v>
      </c>
      <c r="S181" s="62">
        <f ca="1">AVERAGE(OFFSET($R$3,0,0,'Données projet'!$E$9+1,1))-AVERAGE(OFFSET($H$3,0,0,'Données projet'!$E$9+1,1))</f>
        <v>173.76802753906867</v>
      </c>
      <c r="T181" s="62">
        <f t="shared" si="142"/>
        <v>153.4527010894717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-2.2737367544323206E-13</v>
      </c>
      <c r="AJ181" s="14">
        <f>AI181*VLOOKUP('Données projet'!$B$10,Paramètres!$A$1:$I$89,3,0)*VLOOKUP('Données projet'!$B$10,Paramètres!$A$1:$I$89,5,0)</f>
        <v>-1.2710188457276673E-13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382.55387448074327</v>
      </c>
      <c r="AO181" s="62">
        <f t="shared" si="144"/>
        <v>476.29465646955543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0.67720014180486332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1.4159619130640848E-21</v>
      </c>
      <c r="AX181" s="23">
        <f t="shared" si="166"/>
        <v>0.67720014180486332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2">
        <f t="shared" si="140"/>
        <v>23.621985170303667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70">
        <f t="shared" si="110"/>
        <v>484.43071583827873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5.3205440053716299E-14</v>
      </c>
      <c r="P182" s="14">
        <f t="shared" si="141"/>
        <v>8.602146238565607E-13</v>
      </c>
      <c r="Q182" s="22">
        <f t="shared" si="162"/>
        <v>1.590873277977066E-12</v>
      </c>
      <c r="R182" s="62">
        <f t="shared" si="109"/>
        <v>293.33333333333491</v>
      </c>
      <c r="S182" s="62">
        <f ca="1">AVERAGE(OFFSET($R$3,0,0,'Données projet'!$E$9+1,1))-AVERAGE(OFFSET($H$3,0,0,'Données projet'!$E$9+1,1))</f>
        <v>173.76802753906867</v>
      </c>
      <c r="T182" s="62">
        <f t="shared" si="142"/>
        <v>153.4527010894717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-2.2737367544323206E-13</v>
      </c>
      <c r="AJ182" s="14">
        <f>AI182*VLOOKUP('Données projet'!$B$10,Paramètres!$A$1:$I$89,3,0)*VLOOKUP('Données projet'!$B$10,Paramètres!$A$1:$I$89,5,0)</f>
        <v>-1.2710188457276673E-13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382.55387448074327</v>
      </c>
      <c r="AO182" s="62">
        <f t="shared" si="144"/>
        <v>476.29465646955543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0.66392066007537098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1.001236270629491E-21</v>
      </c>
      <c r="AX182" s="23">
        <f t="shared" si="166"/>
        <v>0.66392066007537098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2">
        <f t="shared" si="140"/>
        <v>23.738552844733956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70">
        <f t="shared" si="110"/>
        <v>485.47147953791148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5.3205440053716299E-14</v>
      </c>
      <c r="P183" s="14">
        <f t="shared" si="141"/>
        <v>8.602146238565607E-13</v>
      </c>
      <c r="Q183" s="22">
        <f t="shared" si="162"/>
        <v>1.590873277977066E-12</v>
      </c>
      <c r="R183" s="62">
        <f t="shared" si="109"/>
        <v>293.33333333333491</v>
      </c>
      <c r="S183" s="62">
        <f ca="1">AVERAGE(OFFSET($R$3,0,0,'Données projet'!$E$9+1,1))-AVERAGE(OFFSET($H$3,0,0,'Données projet'!$E$9+1,1))</f>
        <v>173.76802753906867</v>
      </c>
      <c r="T183" s="62">
        <f t="shared" si="142"/>
        <v>153.4527010894717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-2.2737367544323206E-13</v>
      </c>
      <c r="AJ183" s="14">
        <f>AI183*VLOOKUP('Données projet'!$B$10,Paramètres!$A$1:$I$89,3,0)*VLOOKUP('Données projet'!$B$10,Paramètres!$A$1:$I$89,5,0)</f>
        <v>-1.2710188457276673E-13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382.55387448074327</v>
      </c>
      <c r="AO183" s="62">
        <f t="shared" si="144"/>
        <v>476.29465646955543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0.65090158088290995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7.0798095653204241E-22</v>
      </c>
      <c r="AX183" s="23">
        <f t="shared" si="166"/>
        <v>0.65090158088290995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2">
        <f t="shared" si="140"/>
        <v>23.855045162692459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70">
        <f t="shared" si="110"/>
        <v>486.51211199168915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5.3205440053716299E-14</v>
      </c>
      <c r="P184" s="14">
        <f t="shared" si="141"/>
        <v>8.602146238565607E-13</v>
      </c>
      <c r="Q184" s="22">
        <f t="shared" si="162"/>
        <v>1.590873277977066E-12</v>
      </c>
      <c r="R184" s="62">
        <f t="shared" si="109"/>
        <v>293.33333333333491</v>
      </c>
      <c r="S184" s="62">
        <f ca="1">AVERAGE(OFFSET($R$3,0,0,'Données projet'!$E$9+1,1))-AVERAGE(OFFSET($H$3,0,0,'Données projet'!$E$9+1,1))</f>
        <v>173.76802753906867</v>
      </c>
      <c r="T184" s="62">
        <f t="shared" si="142"/>
        <v>153.4527010894717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-2.2737367544323206E-13</v>
      </c>
      <c r="AJ184" s="14">
        <f>AI184*VLOOKUP('Données projet'!$B$10,Paramètres!$A$1:$I$89,3,0)*VLOOKUP('Données projet'!$B$10,Paramètres!$A$1:$I$89,5,0)</f>
        <v>-1.2710188457276673E-13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382.55387448074327</v>
      </c>
      <c r="AO184" s="62">
        <f t="shared" si="144"/>
        <v>476.29465646955543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0.63813779789255887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5.0061813531474552E-22</v>
      </c>
      <c r="AX184" s="23">
        <f t="shared" si="166"/>
        <v>0.63813779789255887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2">
        <f t="shared" si="140"/>
        <v>23.971462588829898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70">
        <f t="shared" si="110"/>
        <v>487.55261400887855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5.3205440053716299E-14</v>
      </c>
      <c r="P185" s="14">
        <f t="shared" si="141"/>
        <v>8.602146238565607E-13</v>
      </c>
      <c r="Q185" s="22">
        <f t="shared" si="162"/>
        <v>1.590873277977066E-12</v>
      </c>
      <c r="R185" s="62">
        <f t="shared" si="109"/>
        <v>293.33333333333491</v>
      </c>
      <c r="S185" s="62">
        <f ca="1">AVERAGE(OFFSET($R$3,0,0,'Données projet'!$E$9+1,1))-AVERAGE(OFFSET($H$3,0,0,'Données projet'!$E$9+1,1))</f>
        <v>173.76802753906867</v>
      </c>
      <c r="T185" s="62">
        <f t="shared" si="142"/>
        <v>153.4527010894717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-2.2737367544323206E-13</v>
      </c>
      <c r="AJ185" s="14">
        <f>AI185*VLOOKUP('Données projet'!$B$10,Paramètres!$A$1:$I$89,3,0)*VLOOKUP('Données projet'!$B$10,Paramètres!$A$1:$I$89,5,0)</f>
        <v>-1.2710188457276673E-13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382.55387448074327</v>
      </c>
      <c r="AO185" s="62">
        <f t="shared" si="144"/>
        <v>476.29465646955543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0.62562430490150966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3.539904782660212E-22</v>
      </c>
      <c r="AX185" s="23">
        <f t="shared" si="166"/>
        <v>0.62562430490150966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2">
        <f t="shared" si="140"/>
        <v>24.087805582395383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70">
        <f t="shared" si="110"/>
        <v>488.59298638933842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5.3205440053716299E-14</v>
      </c>
      <c r="P186" s="14">
        <f t="shared" si="141"/>
        <v>8.602146238565607E-13</v>
      </c>
      <c r="Q186" s="22">
        <f t="shared" si="162"/>
        <v>1.590873277977066E-12</v>
      </c>
      <c r="R186" s="62">
        <f t="shared" si="109"/>
        <v>293.33333333333491</v>
      </c>
      <c r="S186" s="62">
        <f ca="1">AVERAGE(OFFSET($R$3,0,0,'Données projet'!$E$9+1,1))-AVERAGE(OFFSET($H$3,0,0,'Données projet'!$E$9+1,1))</f>
        <v>173.76802753906867</v>
      </c>
      <c r="T186" s="62">
        <f t="shared" si="142"/>
        <v>153.4527010894717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-2.2737367544323206E-13</v>
      </c>
      <c r="AJ186" s="14">
        <f>AI186*VLOOKUP('Données projet'!$B$10,Paramètres!$A$1:$I$89,3,0)*VLOOKUP('Données projet'!$B$10,Paramètres!$A$1:$I$89,5,0)</f>
        <v>-1.2710188457276673E-13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382.55387448074327</v>
      </c>
      <c r="AO186" s="62">
        <f t="shared" si="144"/>
        <v>476.29465646955543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0.61335619387553786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2.5030906765737276E-22</v>
      </c>
      <c r="AX186" s="23">
        <f t="shared" si="166"/>
        <v>0.61335619387553786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2">
        <f t="shared" si="140"/>
        <v>24.204074597328436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70">
        <f t="shared" si="110"/>
        <v>489.63322992368012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5.3205440053716299E-14</v>
      </c>
      <c r="P187" s="14">
        <f t="shared" si="141"/>
        <v>8.602146238565607E-13</v>
      </c>
      <c r="Q187" s="22">
        <f t="shared" si="162"/>
        <v>1.590873277977066E-12</v>
      </c>
      <c r="R187" s="62">
        <f t="shared" si="109"/>
        <v>293.33333333333491</v>
      </c>
      <c r="S187" s="62">
        <f ca="1">AVERAGE(OFFSET($R$3,0,0,'Données projet'!$E$9+1,1))-AVERAGE(OFFSET($H$3,0,0,'Données projet'!$E$9+1,1))</f>
        <v>173.76802753906867</v>
      </c>
      <c r="T187" s="62">
        <f t="shared" si="142"/>
        <v>153.4527010894717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-2.2737367544323206E-13</v>
      </c>
      <c r="AJ187" s="14">
        <f>AI187*VLOOKUP('Données projet'!$B$10,Paramètres!$A$1:$I$89,3,0)*VLOOKUP('Données projet'!$B$10,Paramètres!$A$1:$I$89,5,0)</f>
        <v>-1.2710188457276673E-13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382.55387448074327</v>
      </c>
      <c r="AO187" s="62">
        <f t="shared" si="144"/>
        <v>476.29465646955543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0.60132865302397653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1.769952391330106E-22</v>
      </c>
      <c r="AX187" s="23">
        <f t="shared" si="166"/>
        <v>0.60132865302397653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2">
        <f t="shared" si="140"/>
        <v>24.320270082348852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70">
        <f t="shared" si="110"/>
        <v>490.67334539342403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5.3205440053716299E-14</v>
      </c>
      <c r="P188" s="14">
        <f t="shared" si="141"/>
        <v>8.602146238565607E-13</v>
      </c>
      <c r="Q188" s="22">
        <f t="shared" si="162"/>
        <v>1.590873277977066E-12</v>
      </c>
      <c r="R188" s="62">
        <f t="shared" si="109"/>
        <v>293.33333333333491</v>
      </c>
      <c r="S188" s="62">
        <f ca="1">AVERAGE(OFFSET($R$3,0,0,'Données projet'!$E$9+1,1))-AVERAGE(OFFSET($H$3,0,0,'Données projet'!$E$9+1,1))</f>
        <v>173.76802753906867</v>
      </c>
      <c r="T188" s="62">
        <f t="shared" si="142"/>
        <v>153.4527010894717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-2.2737367544323206E-13</v>
      </c>
      <c r="AJ188" s="14">
        <f>AI188*VLOOKUP('Données projet'!$B$10,Paramètres!$A$1:$I$89,3,0)*VLOOKUP('Données projet'!$B$10,Paramètres!$A$1:$I$89,5,0)</f>
        <v>-1.2710188457276673E-13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382.55387448074327</v>
      </c>
      <c r="AO188" s="62">
        <f t="shared" si="144"/>
        <v>476.29465646955543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0.58953696491243879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1.2515453382868638E-22</v>
      </c>
      <c r="AX188" s="23">
        <f t="shared" si="166"/>
        <v>0.58953696491243879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2">
        <f t="shared" si="140"/>
        <v>24.436392481044596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70">
        <f t="shared" si="110"/>
        <v>491.71333357115242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5.3205440053716299E-14</v>
      </c>
      <c r="P189" s="14">
        <f t="shared" si="141"/>
        <v>8.602146238565607E-13</v>
      </c>
      <c r="Q189" s="22">
        <f t="shared" si="162"/>
        <v>1.590873277977066E-12</v>
      </c>
      <c r="R189" s="62">
        <f t="shared" si="109"/>
        <v>293.33333333333491</v>
      </c>
      <c r="S189" s="62">
        <f ca="1">AVERAGE(OFFSET($R$3,0,0,'Données projet'!$E$9+1,1))-AVERAGE(OFFSET($H$3,0,0,'Données projet'!$E$9+1,1))</f>
        <v>173.76802753906867</v>
      </c>
      <c r="T189" s="62">
        <f t="shared" si="142"/>
        <v>153.4527010894717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-2.2737367544323206E-13</v>
      </c>
      <c r="AJ189" s="14">
        <f>AI189*VLOOKUP('Données projet'!$B$10,Paramètres!$A$1:$I$89,3,0)*VLOOKUP('Données projet'!$B$10,Paramètres!$A$1:$I$89,5,0)</f>
        <v>-1.2710188457276673E-13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382.55387448074327</v>
      </c>
      <c r="AO189" s="62">
        <f t="shared" si="144"/>
        <v>476.29465646955543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0.57797650461254868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8.8497619566505301E-23</v>
      </c>
      <c r="AX189" s="23">
        <f t="shared" si="166"/>
        <v>0.57797650461254868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2">
        <f t="shared" si="140"/>
        <v>24.552442231957805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70">
        <f t="shared" si="110"/>
        <v>492.75319522065962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5.3205440053716299E-14</v>
      </c>
      <c r="P190" s="14">
        <f t="shared" si="141"/>
        <v>8.602146238565607E-13</v>
      </c>
      <c r="Q190" s="22">
        <f t="shared" si="162"/>
        <v>1.590873277977066E-12</v>
      </c>
      <c r="R190" s="62">
        <f t="shared" si="109"/>
        <v>293.33333333333491</v>
      </c>
      <c r="S190" s="62">
        <f ca="1">AVERAGE(OFFSET($R$3,0,0,'Données projet'!$E$9+1,1))-AVERAGE(OFFSET($H$3,0,0,'Données projet'!$E$9+1,1))</f>
        <v>173.76802753906867</v>
      </c>
      <c r="T190" s="62">
        <f t="shared" si="142"/>
        <v>153.4527010894717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-2.2737367544323206E-13</v>
      </c>
      <c r="AJ190" s="14">
        <f>AI190*VLOOKUP('Données projet'!$B$10,Paramètres!$A$1:$I$89,3,0)*VLOOKUP('Données projet'!$B$10,Paramètres!$A$1:$I$89,5,0)</f>
        <v>-1.2710188457276673E-13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382.55387448074327</v>
      </c>
      <c r="AO190" s="62">
        <f t="shared" si="144"/>
        <v>476.29465646955543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0.56664273788795483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6.257726691434319E-23</v>
      </c>
      <c r="AX190" s="23">
        <f t="shared" si="166"/>
        <v>0.56664273788795483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2">
        <f t="shared" si="140"/>
        <v>24.668419768668819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70">
        <f t="shared" si="110"/>
        <v>493.79293109709795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5.3205440053716299E-14</v>
      </c>
      <c r="P191" s="14">
        <f t="shared" si="141"/>
        <v>8.602146238565607E-13</v>
      </c>
      <c r="Q191" s="22">
        <f t="shared" si="162"/>
        <v>1.590873277977066E-12</v>
      </c>
      <c r="R191" s="62">
        <f t="shared" si="109"/>
        <v>293.33333333333491</v>
      </c>
      <c r="S191" s="62">
        <f ca="1">AVERAGE(OFFSET($R$3,0,0,'Données projet'!$E$9+1,1))-AVERAGE(OFFSET($H$3,0,0,'Données projet'!$E$9+1,1))</f>
        <v>173.76802753906867</v>
      </c>
      <c r="T191" s="62">
        <f t="shared" si="142"/>
        <v>153.4527010894717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-2.2737367544323206E-13</v>
      </c>
      <c r="AJ191" s="14">
        <f>AI191*VLOOKUP('Données projet'!$B$10,Paramètres!$A$1:$I$89,3,0)*VLOOKUP('Données projet'!$B$10,Paramètres!$A$1:$I$89,5,0)</f>
        <v>-1.2710188457276673E-13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382.55387448074327</v>
      </c>
      <c r="AO191" s="62">
        <f t="shared" si="144"/>
        <v>476.29465646955543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0.55553121941591521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4.4248809783252651E-23</v>
      </c>
      <c r="AX191" s="23">
        <f t="shared" si="166"/>
        <v>0.55553121941591521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2">
        <f t="shared" si="140"/>
        <v>24.784325519878397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70">
        <f t="shared" si="110"/>
        <v>494.83254194712129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5.3205440053716299E-14</v>
      </c>
      <c r="P192" s="14">
        <f t="shared" si="141"/>
        <v>8.602146238565607E-13</v>
      </c>
      <c r="Q192" s="22">
        <f t="shared" si="162"/>
        <v>1.590873277977066E-12</v>
      </c>
      <c r="R192" s="62">
        <f t="shared" si="109"/>
        <v>293.33333333333491</v>
      </c>
      <c r="S192" s="62">
        <f ca="1">AVERAGE(OFFSET($R$3,0,0,'Données projet'!$E$9+1,1))-AVERAGE(OFFSET($H$3,0,0,'Données projet'!$E$9+1,1))</f>
        <v>173.76802753906867</v>
      </c>
      <c r="T192" s="62">
        <f t="shared" si="142"/>
        <v>153.4527010894717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-2.2737367544323206E-13</v>
      </c>
      <c r="AJ192" s="14">
        <f>AI192*VLOOKUP('Données projet'!$B$10,Paramètres!$A$1:$I$89,3,0)*VLOOKUP('Données projet'!$B$10,Paramètres!$A$1:$I$89,5,0)</f>
        <v>-1.2710188457276673E-13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382.55387448074327</v>
      </c>
      <c r="AO192" s="62">
        <f t="shared" si="144"/>
        <v>476.29465646955543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0.5446375910437552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3.1288633457171595E-23</v>
      </c>
      <c r="AX192" s="23">
        <f t="shared" si="166"/>
        <v>0.5446375910437552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2">
        <f t="shared" si="140"/>
        <v>24.900159909488174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70">
        <f t="shared" si="110"/>
        <v>495.87202850902497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5.3205440053716299E-14</v>
      </c>
      <c r="P193" s="14">
        <f t="shared" si="141"/>
        <v>8.602146238565607E-13</v>
      </c>
      <c r="Q193" s="22">
        <f t="shared" si="162"/>
        <v>1.590873277977066E-12</v>
      </c>
      <c r="R193" s="62">
        <f t="shared" si="109"/>
        <v>293.33333333333491</v>
      </c>
      <c r="S193" s="62">
        <f ca="1">AVERAGE(OFFSET($R$3,0,0,'Données projet'!$E$9+1,1))-AVERAGE(OFFSET($H$3,0,0,'Données projet'!$E$9+1,1))</f>
        <v>173.76802753906867</v>
      </c>
      <c r="T193" s="62">
        <f t="shared" si="142"/>
        <v>153.4527010894717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-2.2737367544323206E-13</v>
      </c>
      <c r="AJ193" s="14">
        <f>AI193*VLOOKUP('Données projet'!$B$10,Paramètres!$A$1:$I$89,3,0)*VLOOKUP('Données projet'!$B$10,Paramètres!$A$1:$I$89,5,0)</f>
        <v>-1.2710188457276673E-13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382.55387448074327</v>
      </c>
      <c r="AO193" s="62">
        <f t="shared" si="144"/>
        <v>476.29465646955543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0.5339575800795161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2.2124404891626325E-23</v>
      </c>
      <c r="AX193" s="23">
        <f t="shared" si="166"/>
        <v>0.5339575800795161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2">
        <f t="shared" si="140"/>
        <v>25.015923356679352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70">
        <f t="shared" si="110"/>
        <v>496.91139151288291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5.3205440053716299E-14</v>
      </c>
      <c r="P194" s="14">
        <f t="shared" si="141"/>
        <v>8.602146238565607E-13</v>
      </c>
      <c r="Q194" s="22">
        <f t="shared" si="162"/>
        <v>1.590873277977066E-12</v>
      </c>
      <c r="R194" s="62">
        <f t="shared" si="109"/>
        <v>293.33333333333491</v>
      </c>
      <c r="S194" s="62">
        <f ca="1">AVERAGE(OFFSET($R$3,0,0,'Données projet'!$E$9+1,1))-AVERAGE(OFFSET($H$3,0,0,'Données projet'!$E$9+1,1))</f>
        <v>173.76802753906867</v>
      </c>
      <c r="T194" s="62">
        <f t="shared" si="142"/>
        <v>153.4527010894717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-2.2737367544323206E-13</v>
      </c>
      <c r="AJ194" s="14">
        <f>AI194*VLOOKUP('Données projet'!$B$10,Paramètres!$A$1:$I$89,3,0)*VLOOKUP('Données projet'!$B$10,Paramètres!$A$1:$I$89,5,0)</f>
        <v>-1.2710188457276673E-13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382.55387448074327</v>
      </c>
      <c r="AO194" s="62">
        <f t="shared" si="144"/>
        <v>476.29465646955543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0.52348699761612216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1.5644316728585797E-23</v>
      </c>
      <c r="AX194" s="23">
        <f t="shared" si="166"/>
        <v>0.52348699761612216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2">
        <f t="shared" si="140"/>
        <v>25.131616275989707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70">
        <f t="shared" si="110"/>
        <v>497.95063168068179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5.3205440053716299E-14</v>
      </c>
      <c r="P195" s="14">
        <f t="shared" si="141"/>
        <v>8.602146238565607E-13</v>
      </c>
      <c r="Q195" s="22">
        <f t="shared" si="162"/>
        <v>1.590873277977066E-12</v>
      </c>
      <c r="R195" s="62">
        <f t="shared" ref="R195:R203" si="191">Q195+(I195+J195)*44/12</f>
        <v>293.33333333333491</v>
      </c>
      <c r="S195" s="62">
        <f ca="1">AVERAGE(OFFSET($R$3,0,0,'Données projet'!$E$9+1,1))-AVERAGE(OFFSET($H$3,0,0,'Données projet'!$E$9+1,1))</f>
        <v>173.76802753906867</v>
      </c>
      <c r="T195" s="62">
        <f t="shared" si="142"/>
        <v>153.4527010894717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-2.2737367544323206E-13</v>
      </c>
      <c r="AJ195" s="14">
        <f>AI195*VLOOKUP('Données projet'!$B$10,Paramètres!$A$1:$I$89,3,0)*VLOOKUP('Données projet'!$B$10,Paramètres!$A$1:$I$89,5,0)</f>
        <v>-1.2710188457276673E-13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382.55387448074327</v>
      </c>
      <c r="AO195" s="62">
        <f t="shared" si="144"/>
        <v>476.29465646955543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0.51322173688841077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1.1062202445813163E-23</v>
      </c>
      <c r="AX195" s="23">
        <f t="shared" si="166"/>
        <v>0.51322173688841077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2">
        <f t="shared" si="140"/>
        <v>25.247239077388915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70">
        <f t="shared" ref="H196:H203" si="192">(B196+E196+F196)*44/12+(C196+D196)*0.475*44/12</f>
        <v>498.98974972645203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5.3205440053716299E-14</v>
      </c>
      <c r="P196" s="14">
        <f t="shared" si="141"/>
        <v>8.602146238565607E-13</v>
      </c>
      <c r="Q196" s="22">
        <f t="shared" si="162"/>
        <v>1.590873277977066E-12</v>
      </c>
      <c r="R196" s="62">
        <f t="shared" si="191"/>
        <v>293.33333333333491</v>
      </c>
      <c r="S196" s="62">
        <f ca="1">AVERAGE(OFFSET($R$3,0,0,'Données projet'!$E$9+1,1))-AVERAGE(OFFSET($H$3,0,0,'Données projet'!$E$9+1,1))</f>
        <v>173.76802753906867</v>
      </c>
      <c r="T196" s="62">
        <f t="shared" si="142"/>
        <v>153.4527010894717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-2.2737367544323206E-13</v>
      </c>
      <c r="AJ196" s="14">
        <f>AI196*VLOOKUP('Données projet'!$B$10,Paramètres!$A$1:$I$89,3,0)*VLOOKUP('Données projet'!$B$10,Paramètres!$A$1:$I$89,5,0)</f>
        <v>-1.2710188457276673E-13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382.55387448074327</v>
      </c>
      <c r="AO196" s="62">
        <f t="shared" si="144"/>
        <v>476.29465646955543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0.50315777166237896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7.8221583642928987E-24</v>
      </c>
      <c r="AX196" s="23">
        <f t="shared" si="166"/>
        <v>0.50315777166237896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2">
        <f t="shared" ref="D197:D203" si="202">IFERROR(EXP(-1.0587+0.8836*LN(C197)+0.284),0)</f>
        <v>25.362792166352278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70">
        <f t="shared" si="192"/>
        <v>500.0287463563966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5.3205440053716299E-14</v>
      </c>
      <c r="P197" s="14">
        <f t="shared" ref="P197:P203" si="203">EXP(-1.0587+0.8836*LN(O197)+0.284)</f>
        <v>8.602146238565607E-13</v>
      </c>
      <c r="Q197" s="22">
        <f t="shared" si="162"/>
        <v>1.590873277977066E-12</v>
      </c>
      <c r="R197" s="62">
        <f t="shared" si="191"/>
        <v>293.33333333333491</v>
      </c>
      <c r="S197" s="62">
        <f ca="1">AVERAGE(OFFSET($R$3,0,0,'Données projet'!$E$9+1,1))-AVERAGE(OFFSET($H$3,0,0,'Données projet'!$E$9+1,1))</f>
        <v>173.76802753906867</v>
      </c>
      <c r="T197" s="62">
        <f t="shared" ref="T197:T203" si="204">$T$3</f>
        <v>153.4527010894717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-2.2737367544323206E-13</v>
      </c>
      <c r="AJ197" s="14">
        <f>AI197*VLOOKUP('Données projet'!$B$10,Paramètres!$A$1:$I$89,3,0)*VLOOKUP('Données projet'!$B$10,Paramètres!$A$1:$I$89,5,0)</f>
        <v>-1.2710188457276673E-13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382.55387448074327</v>
      </c>
      <c r="AO197" s="62">
        <f t="shared" ref="AO197:AO203" si="205">$AO$3</f>
        <v>476.29465646955543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0.49329115465601697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5.5311012229065813E-24</v>
      </c>
      <c r="AX197" s="23">
        <f t="shared" si="166"/>
        <v>0.49329115465601697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2">
        <f t="shared" si="202"/>
        <v>25.478275943932946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70">
        <f t="shared" si="192"/>
        <v>501.06762226901623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5.3205440053716299E-14</v>
      </c>
      <c r="P198" s="14">
        <f t="shared" si="203"/>
        <v>8.602146238565607E-13</v>
      </c>
      <c r="Q198" s="22">
        <f t="shared" si="162"/>
        <v>1.590873277977066E-12</v>
      </c>
      <c r="R198" s="62">
        <f t="shared" si="191"/>
        <v>293.33333333333491</v>
      </c>
      <c r="S198" s="62">
        <f ca="1">AVERAGE(OFFSET($R$3,0,0,'Données projet'!$E$9+1,1))-AVERAGE(OFFSET($H$3,0,0,'Données projet'!$E$9+1,1))</f>
        <v>173.76802753906867</v>
      </c>
      <c r="T198" s="62">
        <f t="shared" si="204"/>
        <v>153.4527010894717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-2.2737367544323206E-13</v>
      </c>
      <c r="AJ198" s="14">
        <f>AI198*VLOOKUP('Données projet'!$B$10,Paramètres!$A$1:$I$89,3,0)*VLOOKUP('Données projet'!$B$10,Paramètres!$A$1:$I$89,5,0)</f>
        <v>-1.2710188457276673E-13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382.55387448074327</v>
      </c>
      <c r="AO198" s="62">
        <f t="shared" si="205"/>
        <v>476.29465646955543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0.4836180159911076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3.9110791821464494E-24</v>
      </c>
      <c r="AX198" s="23">
        <f t="shared" si="166"/>
        <v>0.4836180159911076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2">
        <f t="shared" si="202"/>
        <v>25.593690806832573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70">
        <f t="shared" si="192"/>
        <v>502.10637815523307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5.3205440053716299E-14</v>
      </c>
      <c r="P199" s="14">
        <f t="shared" si="203"/>
        <v>8.602146238565607E-13</v>
      </c>
      <c r="Q199" s="22">
        <f t="shared" si="162"/>
        <v>1.590873277977066E-12</v>
      </c>
      <c r="R199" s="62">
        <f t="shared" si="191"/>
        <v>293.33333333333491</v>
      </c>
      <c r="S199" s="62">
        <f ca="1">AVERAGE(OFFSET($R$3,0,0,'Données projet'!$E$9+1,1))-AVERAGE(OFFSET($H$3,0,0,'Données projet'!$E$9+1,1))</f>
        <v>173.76802753906867</v>
      </c>
      <c r="T199" s="62">
        <f t="shared" si="204"/>
        <v>153.4527010894717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-2.2737367544323206E-13</v>
      </c>
      <c r="AJ199" s="14">
        <f>AI199*VLOOKUP('Données projet'!$B$10,Paramètres!$A$1:$I$89,3,0)*VLOOKUP('Données projet'!$B$10,Paramètres!$A$1:$I$89,5,0)</f>
        <v>-1.2710188457276673E-13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382.55387448074327</v>
      </c>
      <c r="AO199" s="62">
        <f t="shared" si="205"/>
        <v>476.29465646955543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0.47413456167538509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2.7655506114532907E-24</v>
      </c>
      <c r="AX199" s="23">
        <f t="shared" si="166"/>
        <v>0.47413456167538509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2">
        <f t="shared" si="202"/>
        <v>25.709037147470404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70">
        <f t="shared" si="192"/>
        <v>503.14501469851064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5.3205440053716299E-14</v>
      </c>
      <c r="P200" s="14">
        <f t="shared" si="203"/>
        <v>8.602146238565607E-13</v>
      </c>
      <c r="Q200" s="22">
        <f t="shared" si="162"/>
        <v>1.590873277977066E-12</v>
      </c>
      <c r="R200" s="62">
        <f t="shared" si="191"/>
        <v>293.33333333333491</v>
      </c>
      <c r="S200" s="62">
        <f ca="1">AVERAGE(OFFSET($R$3,0,0,'Données projet'!$E$9+1,1))-AVERAGE(OFFSET($H$3,0,0,'Données projet'!$E$9+1,1))</f>
        <v>173.76802753906867</v>
      </c>
      <c r="T200" s="62">
        <f t="shared" si="204"/>
        <v>153.4527010894717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-2.2737367544323206E-13</v>
      </c>
      <c r="AJ200" s="14">
        <f>AI200*VLOOKUP('Données projet'!$B$10,Paramètres!$A$1:$I$89,3,0)*VLOOKUP('Données projet'!$B$10,Paramètres!$A$1:$I$89,5,0)</f>
        <v>-1.2710188457276673E-13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382.55387448074327</v>
      </c>
      <c r="AO200" s="62">
        <f t="shared" si="205"/>
        <v>476.29465646955543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0.46483707211445791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1.9555395910732247E-24</v>
      </c>
      <c r="AX200" s="23">
        <f t="shared" si="166"/>
        <v>0.46483707211445791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2">
        <f t="shared" si="202"/>
        <v>25.824315354051095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70">
        <f t="shared" si="192"/>
        <v>504.18353257497199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5.3205440053716299E-14</v>
      </c>
      <c r="P201" s="14">
        <f t="shared" si="203"/>
        <v>8.602146238565607E-13</v>
      </c>
      <c r="Q201" s="22">
        <f t="shared" si="162"/>
        <v>1.590873277977066E-12</v>
      </c>
      <c r="R201" s="62">
        <f t="shared" si="191"/>
        <v>293.33333333333491</v>
      </c>
      <c r="S201" s="62">
        <f ca="1">AVERAGE(OFFSET($R$3,0,0,'Données projet'!$E$9+1,1))-AVERAGE(OFFSET($H$3,0,0,'Données projet'!$E$9+1,1))</f>
        <v>173.76802753906867</v>
      </c>
      <c r="T201" s="62">
        <f t="shared" si="204"/>
        <v>153.4527010894717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-2.2737367544323206E-13</v>
      </c>
      <c r="AJ201" s="14">
        <f>AI201*VLOOKUP('Données projet'!$B$10,Paramètres!$A$1:$I$89,3,0)*VLOOKUP('Données projet'!$B$10,Paramètres!$A$1:$I$89,5,0)</f>
        <v>-1.2710188457276673E-13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382.55387448074327</v>
      </c>
      <c r="AO201" s="62">
        <f t="shared" si="205"/>
        <v>476.29465646955543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0.45572190065291185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1.3827753057266453E-24</v>
      </c>
      <c r="AX201" s="23">
        <f t="shared" si="166"/>
        <v>0.45572190065291185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2">
        <f t="shared" si="202"/>
        <v>25.939525810630993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70">
        <f t="shared" si="192"/>
        <v>505.22193245351531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5.3205440053716299E-14</v>
      </c>
      <c r="P202" s="14">
        <f t="shared" si="203"/>
        <v>8.602146238565607E-13</v>
      </c>
      <c r="Q202" s="22">
        <f t="shared" si="162"/>
        <v>1.590873277977066E-12</v>
      </c>
      <c r="R202" s="62">
        <f t="shared" si="191"/>
        <v>293.33333333333491</v>
      </c>
      <c r="S202" s="62">
        <f ca="1">AVERAGE(OFFSET($R$3,0,0,'Données projet'!$E$9+1,1))-AVERAGE(OFFSET($H$3,0,0,'Données projet'!$E$9+1,1))</f>
        <v>173.76802753906867</v>
      </c>
      <c r="T202" s="62">
        <f t="shared" si="204"/>
        <v>153.4527010894717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-2.2737367544323206E-13</v>
      </c>
      <c r="AJ202" s="14">
        <f>AI202*VLOOKUP('Données projet'!$B$10,Paramètres!$A$1:$I$89,3,0)*VLOOKUP('Données projet'!$B$10,Paramètres!$A$1:$I$89,5,0)</f>
        <v>-1.2710188457276673E-13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382.55387448074327</v>
      </c>
      <c r="AO202" s="62">
        <f t="shared" si="205"/>
        <v>476.29465646955543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0.44678547214402109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9.7776979553661234E-25</v>
      </c>
      <c r="AX202" s="23">
        <f t="shared" si="166"/>
        <v>0.44678547214402109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2">
        <f t="shared" si="202"/>
        <v>26.054668897183067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70">
        <f t="shared" si="192"/>
        <v>506.26021499592679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5.3205440053716299E-14</v>
      </c>
      <c r="P203" s="14">
        <f t="shared" si="203"/>
        <v>8.602146238565607E-13</v>
      </c>
      <c r="Q203" s="22">
        <f t="shared" si="162"/>
        <v>1.590873277977066E-12</v>
      </c>
      <c r="R203" s="62">
        <f t="shared" si="191"/>
        <v>293.33333333333491</v>
      </c>
      <c r="S203" s="62">
        <f ca="1">AVERAGE(OFFSET($R$3,0,0,'Données projet'!$E$9+1,1))-AVERAGE(OFFSET($H$3,0,0,'Données projet'!$E$9+1,1))</f>
        <v>173.76802753906867</v>
      </c>
      <c r="T203" s="62">
        <f t="shared" si="204"/>
        <v>153.4527010894717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-2.2737367544323206E-13</v>
      </c>
      <c r="AJ203" s="14">
        <f>AI203*VLOOKUP('Données projet'!$B$10,Paramètres!$A$1:$I$89,3,0)*VLOOKUP('Données projet'!$B$10,Paramètres!$A$1:$I$89,5,0)</f>
        <v>-1.2710188457276673E-13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382.55387448074327</v>
      </c>
      <c r="AO203" s="62">
        <f t="shared" si="205"/>
        <v>476.29465646955543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0.4380242815475065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6.9138765286332266E-25</v>
      </c>
      <c r="AX203" s="23">
        <f t="shared" si="166"/>
        <v>0.4380242815475065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1.2677537154322802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1.3070441688874561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4" workbookViewId="0">
      <selection activeCell="P10" sqref="P10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Cèdre de l'Atlas</v>
      </c>
      <c r="B6" s="155">
        <f>'Données projet'!D9</f>
        <v>1.5</v>
      </c>
      <c r="C6" s="156">
        <f ca="1">IF(OR('Données projet'!B9="",'Données projet'!C9="",'Données projet'!C9=0%),0,Calculateur!S3)</f>
        <v>173.76802753906867</v>
      </c>
      <c r="D6" s="156">
        <f>IF(OR('Données projet'!B9="",'Données projet'!C9="",'Données projet'!C9=0%),0,Calculateur!T3)</f>
        <v>153.4527010894717</v>
      </c>
      <c r="E6" s="156">
        <f ca="1">MIN(C6,D6)</f>
        <v>153.4527010894717</v>
      </c>
      <c r="F6" s="156">
        <f ca="1">E6*B6</f>
        <v>230.17905163420755</v>
      </c>
      <c r="G6" s="156">
        <f ca="1">F6*(100%-'Données projet'!$C$24)*(100%-'Données projet'!$C$25)*(100%-'Données projet'!$C$26)*(100%-'Données projet'!$C$27)</f>
        <v>176.08697450016876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0</v>
      </c>
      <c r="K6" s="160">
        <f>J6*(100%-'Données projet'!$C$24)*(100%-'Données projet'!$C$25)*(100%-'Données projet'!$C$26)*(100%-'Données projet'!$C$27)</f>
        <v>0</v>
      </c>
      <c r="L6" s="161">
        <f ca="1">G6+I6+K6</f>
        <v>176.08697450016876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>Douglas</v>
      </c>
      <c r="B7" s="163">
        <f>'Données projet'!D10</f>
        <v>1.5</v>
      </c>
      <c r="C7" s="156">
        <f ca="1">IF(OR('Données projet'!B10="",'Données projet'!C10="",'Données projet'!C10=0%),0,Calculateur!AN3)</f>
        <v>382.55387448074327</v>
      </c>
      <c r="D7" s="156">
        <f>IF(OR('Données projet'!B10="",'Données projet'!C10="",'Données projet'!C10=0%),0,Calculateur!AO3)</f>
        <v>476.29465646955543</v>
      </c>
      <c r="E7" s="156">
        <f t="shared" ref="E7:E15" ca="1" si="0">MIN(C7,D7)</f>
        <v>382.55387448074327</v>
      </c>
      <c r="F7" s="156">
        <f t="shared" ref="F7:F15" ca="1" si="1">E7*B7</f>
        <v>573.83081172111497</v>
      </c>
      <c r="G7" s="156">
        <f ca="1">F7*(100%-'Données projet'!$C$24)*(100%-'Données projet'!$C$25)*(100%-'Données projet'!$C$26)*(100%-'Données projet'!$C$27)</f>
        <v>438.98057096665298</v>
      </c>
      <c r="H7" s="164">
        <f>IF(OR('Données projet'!B10="",'Données projet'!C10="",'Données projet'!C10=0%),0,AVERAGE(Calculateur!$AX$3:$AX$33)*B7)</f>
        <v>6.6754609985325439</v>
      </c>
      <c r="I7" s="158">
        <f>H7*(100%-'Données projet'!$C$24)*(100%-'Données projet'!$C$25)*(100%-'Données projet'!$C$26)*(100%-'Données projet'!$C$27)</f>
        <v>5.106727663877396</v>
      </c>
      <c r="J7" s="159">
        <f>IF(OR('Données projet'!B10="",'Données projet'!C10="",'Données projet'!C10=0%),0,SUM(Calculateur!$AQ$3:$AQ$33)*VLOOKUP('Données projet'!$B$10,Paramètres!$A$1:$I$89,9,0)*B7)</f>
        <v>69.66</v>
      </c>
      <c r="K7" s="160">
        <f>J7*(100%-'Données projet'!$C$24)*(100%-'Données projet'!$C$25)*(100%-'Données projet'!$C$26)*(100%-'Données projet'!$C$27)</f>
        <v>53.289899999999996</v>
      </c>
      <c r="L7" s="161">
        <f t="shared" ref="L7:L15" ca="1" si="2">G7+I7+K7</f>
        <v>497.37719863053036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804.00986335532252</v>
      </c>
      <c r="G16" s="175">
        <f t="shared" ca="1" si="3"/>
        <v>615.06754546682168</v>
      </c>
      <c r="H16" s="176">
        <f t="shared" si="3"/>
        <v>6.6754609985325439</v>
      </c>
      <c r="I16" s="176">
        <f t="shared" si="3"/>
        <v>5.106727663877396</v>
      </c>
      <c r="J16" s="177">
        <f t="shared" si="3"/>
        <v>69.66</v>
      </c>
      <c r="K16" s="177">
        <f t="shared" si="3"/>
        <v>53.289899999999996</v>
      </c>
      <c r="L16" s="178">
        <f t="shared" ca="1" si="3"/>
        <v>673.46417313069912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Cèdre de l'Atlas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>Douglas</v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G1" zoomScale="90" zoomScaleNormal="90" workbookViewId="0">
      <selection activeCell="Q23" sqref="Q23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Cèdre de l'Atlas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987.46219161107842</v>
      </c>
      <c r="U10" s="190">
        <f>'Données projet'!D9</f>
        <v>1.5</v>
      </c>
      <c r="V10" s="189">
        <f>U10*T10</f>
        <v>1481.1932874166177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>Douglas</v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6269.9953679623377</v>
      </c>
      <c r="U11" s="190">
        <f>'Données projet'!D10</f>
        <v>1.5</v>
      </c>
      <c r="V11" s="189">
        <f t="shared" ref="V11" si="0">U11*T11</f>
        <v>9404.9930519435075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Cèdre de l'Atlas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>
        <v>70</v>
      </c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70.000000000000114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>
        <v>40</v>
      </c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2800.0000000000045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v>5718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1133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v>600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20</v>
      </c>
      <c r="B23" s="193">
        <f>'Données projet'!D36</f>
        <v>0</v>
      </c>
      <c r="C23" s="206">
        <v>0</v>
      </c>
      <c r="D23" s="194">
        <f>B23*C23</f>
        <v>0</v>
      </c>
      <c r="E23" s="206"/>
      <c r="F23" s="261"/>
      <c r="H23" s="203">
        <v>3</v>
      </c>
      <c r="I23" s="204">
        <v>650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-16444.031205893894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30</v>
      </c>
      <c r="B24" s="193">
        <f>'Données projet'!D37</f>
        <v>0</v>
      </c>
      <c r="C24" s="206">
        <v>0</v>
      </c>
      <c r="D24" s="194">
        <f t="shared" ref="D24:D42" si="2">B24*C24</f>
        <v>0</v>
      </c>
      <c r="E24" s="206"/>
      <c r="F24" s="264"/>
      <c r="H24" s="203">
        <v>4</v>
      </c>
      <c r="I24" s="204">
        <v>700</v>
      </c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385.60171319407459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40</v>
      </c>
      <c r="B25" s="193">
        <f>'Données projet'!D38</f>
        <v>63</v>
      </c>
      <c r="C25" s="206">
        <v>15</v>
      </c>
      <c r="D25" s="194">
        <f t="shared" si="2"/>
        <v>945</v>
      </c>
      <c r="E25" s="206"/>
      <c r="F25" s="264"/>
      <c r="G25" s="1"/>
      <c r="H25" s="203">
        <v>5</v>
      </c>
      <c r="I25" s="204">
        <v>750</v>
      </c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-16829.63291908797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50</v>
      </c>
      <c r="B26" s="193">
        <f>'Données projet'!D39</f>
        <v>0</v>
      </c>
      <c r="C26" s="206">
        <v>0</v>
      </c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60</v>
      </c>
      <c r="B27" s="193">
        <f>'Données projet'!D40</f>
        <v>67</v>
      </c>
      <c r="C27" s="206">
        <v>32</v>
      </c>
      <c r="D27" s="194">
        <f t="shared" si="2"/>
        <v>2144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70</v>
      </c>
      <c r="B28" s="193">
        <f>'Données projet'!D41</f>
        <v>69</v>
      </c>
      <c r="C28" s="206">
        <v>45</v>
      </c>
      <c r="D28" s="194">
        <f t="shared" si="2"/>
        <v>3105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80</v>
      </c>
      <c r="B29" s="193">
        <f>'Données projet'!D42</f>
        <v>71</v>
      </c>
      <c r="C29" s="206">
        <v>58</v>
      </c>
      <c r="D29" s="194">
        <f t="shared" si="2"/>
        <v>4118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90</v>
      </c>
      <c r="B30" s="193">
        <f>'Données projet'!D43</f>
        <v>73</v>
      </c>
      <c r="C30" s="206">
        <v>62</v>
      </c>
      <c r="D30" s="194">
        <f t="shared" si="2"/>
        <v>4526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100</v>
      </c>
      <c r="B31" s="193">
        <f>'Données projet'!D44</f>
        <v>375</v>
      </c>
      <c r="C31" s="206">
        <v>70</v>
      </c>
      <c r="D31" s="194">
        <f t="shared" si="2"/>
        <v>26250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>Douglas</v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19</v>
      </c>
      <c r="B54" s="193">
        <f>'Données projet'!D62</f>
        <v>0</v>
      </c>
      <c r="C54" s="204">
        <v>12</v>
      </c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25</v>
      </c>
      <c r="B55" s="193">
        <f>'Données projet'!D63</f>
        <v>54</v>
      </c>
      <c r="C55" s="204">
        <v>18</v>
      </c>
      <c r="D55" s="191">
        <f t="shared" ref="D55:D73" si="4">B55*C55</f>
        <v>972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30</v>
      </c>
      <c r="B56" s="193">
        <f>'Données projet'!D64</f>
        <v>54</v>
      </c>
      <c r="C56" s="204">
        <v>24</v>
      </c>
      <c r="D56" s="191">
        <f t="shared" si="4"/>
        <v>1296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35</v>
      </c>
      <c r="B57" s="193">
        <f>'Données projet'!D65</f>
        <v>69</v>
      </c>
      <c r="C57" s="204">
        <v>35</v>
      </c>
      <c r="D57" s="191">
        <f t="shared" si="4"/>
        <v>2415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40</v>
      </c>
      <c r="B58" s="193">
        <f>'Données projet'!D66</f>
        <v>72</v>
      </c>
      <c r="C58" s="204">
        <v>46</v>
      </c>
      <c r="D58" s="191">
        <f t="shared" si="4"/>
        <v>3312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45</v>
      </c>
      <c r="B59" s="193">
        <f>'Données projet'!D67</f>
        <v>66</v>
      </c>
      <c r="C59" s="204">
        <v>54</v>
      </c>
      <c r="D59" s="191">
        <f t="shared" si="4"/>
        <v>3564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50</v>
      </c>
      <c r="B60" s="193">
        <f>'Données projet'!D68</f>
        <v>48</v>
      </c>
      <c r="C60" s="204">
        <v>62</v>
      </c>
      <c r="D60" s="191">
        <f t="shared" si="4"/>
        <v>2976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55</v>
      </c>
      <c r="B61" s="193">
        <f>'Données projet'!D69</f>
        <v>35</v>
      </c>
      <c r="C61" s="204">
        <v>70</v>
      </c>
      <c r="D61" s="191">
        <f t="shared" si="4"/>
        <v>2450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60</v>
      </c>
      <c r="B62" s="193">
        <f>'Données projet'!D70</f>
        <v>666</v>
      </c>
      <c r="C62" s="204">
        <v>80</v>
      </c>
      <c r="D62" s="191">
        <f t="shared" si="4"/>
        <v>53280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0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0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0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0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0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str">
        <f>IF(O93+1&lt;=MIN('Données projet'!$E$9:$E$18),O93+1,"STOP")</f>
        <v>STOP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2024-03-08T09:41:55Z</dcterms:modified>
</cp:coreProperties>
</file>